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 activeTab="5"/>
  </bookViews>
  <sheets>
    <sheet name="НВВ 2017" sheetId="5" r:id="rId1"/>
    <sheet name="потери" sheetId="1" r:id="rId2"/>
    <sheet name="МЭС факт 15" sheetId="2" r:id="rId3"/>
    <sheet name="МЭС план 17" sheetId="3" r:id="rId4"/>
    <sheet name="детализация" sheetId="4" r:id="rId5"/>
    <sheet name="план-факт2015" sheetId="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C67" i="5" l="1"/>
  <c r="E58" i="5"/>
  <c r="D58" i="5"/>
  <c r="E53" i="5"/>
  <c r="D53" i="5"/>
  <c r="E48" i="5"/>
  <c r="E67" i="5" s="1"/>
  <c r="D48" i="5"/>
  <c r="C48" i="5"/>
  <c r="C40" i="5"/>
  <c r="C71" i="5" s="1"/>
  <c r="D39" i="5"/>
  <c r="E39" i="5" s="1"/>
  <c r="D37" i="5"/>
  <c r="E37" i="5" s="1"/>
  <c r="E35" i="5" s="1"/>
  <c r="D36" i="5"/>
  <c r="E36" i="5" s="1"/>
  <c r="D35" i="5"/>
  <c r="D60" i="5" s="1"/>
  <c r="D33" i="5"/>
  <c r="E33" i="5" s="1"/>
  <c r="D32" i="5"/>
  <c r="E32" i="5" s="1"/>
  <c r="D31" i="5"/>
  <c r="E31" i="5" s="1"/>
  <c r="E30" i="5" s="1"/>
  <c r="D30" i="5"/>
  <c r="D40" i="5" s="1"/>
  <c r="D29" i="5"/>
  <c r="E29" i="5" s="1"/>
  <c r="D28" i="5"/>
  <c r="D27" i="5"/>
  <c r="D26" i="5"/>
  <c r="E26" i="5" s="1"/>
  <c r="D25" i="5"/>
  <c r="E25" i="5" s="1"/>
  <c r="D24" i="5"/>
  <c r="E24" i="5" s="1"/>
  <c r="D23" i="5"/>
  <c r="D22" i="5"/>
  <c r="D21" i="5"/>
  <c r="D20" i="5"/>
  <c r="D19" i="5"/>
  <c r="E18" i="5"/>
  <c r="D18" i="5"/>
  <c r="D17" i="5"/>
  <c r="D16" i="5"/>
  <c r="D15" i="5"/>
  <c r="D14" i="5"/>
  <c r="E14" i="5" s="1"/>
  <c r="D13" i="5"/>
  <c r="E13" i="5" s="1"/>
  <c r="D12" i="5"/>
  <c r="E12" i="5" s="1"/>
  <c r="E11" i="5" s="1"/>
  <c r="L11" i="5"/>
  <c r="D11" i="5"/>
  <c r="D10" i="5"/>
  <c r="D9" i="5"/>
  <c r="D8" i="5"/>
  <c r="D7" i="5"/>
  <c r="E7" i="5" s="1"/>
  <c r="E6" i="5" s="1"/>
  <c r="E5" i="5" s="1"/>
  <c r="E40" i="5" s="1"/>
  <c r="E71" i="5" s="1"/>
  <c r="D6" i="5"/>
  <c r="D5" i="5"/>
  <c r="C149" i="6"/>
  <c r="C106" i="6"/>
  <c r="D99" i="6"/>
  <c r="D106" i="6" s="1"/>
  <c r="C99" i="6"/>
  <c r="C88" i="6"/>
  <c r="D85" i="6"/>
  <c r="D81" i="6"/>
  <c r="D74" i="6"/>
  <c r="D68" i="6"/>
  <c r="D64" i="6"/>
  <c r="D62" i="6"/>
  <c r="D60" i="6"/>
  <c r="D88" i="6" s="1"/>
  <c r="C50" i="6"/>
  <c r="C38" i="6"/>
  <c r="D26" i="6"/>
  <c r="D19" i="6" s="1"/>
  <c r="D34" i="6" s="1"/>
  <c r="D38" i="6" s="1"/>
  <c r="D50" i="6" s="1"/>
  <c r="D11" i="6"/>
  <c r="D67" i="5" l="1"/>
  <c r="D71" i="5" s="1"/>
  <c r="G28" i="1" l="1"/>
  <c r="E28" i="1"/>
  <c r="C27" i="1"/>
  <c r="C26" i="1"/>
  <c r="C25" i="1"/>
  <c r="C24" i="1"/>
  <c r="G23" i="1"/>
  <c r="F23" i="1"/>
  <c r="F28" i="1" s="1"/>
  <c r="E23" i="1"/>
  <c r="D23" i="1"/>
  <c r="D28" i="1" s="1"/>
  <c r="G20" i="1"/>
  <c r="F20" i="1"/>
  <c r="E20" i="1"/>
  <c r="D20" i="1"/>
  <c r="C19" i="1"/>
  <c r="C18" i="1"/>
  <c r="C16" i="1"/>
  <c r="G15" i="1"/>
  <c r="G21" i="1" s="1"/>
  <c r="C14" i="1"/>
  <c r="C13" i="1"/>
  <c r="C12" i="1"/>
  <c r="C11" i="1"/>
  <c r="G10" i="1"/>
  <c r="F10" i="1"/>
  <c r="F15" i="1" s="1"/>
  <c r="E10" i="1"/>
  <c r="E15" i="1" s="1"/>
  <c r="D10" i="1"/>
  <c r="C10" i="1" s="1"/>
  <c r="C15" i="1" s="1"/>
  <c r="C20" i="2"/>
  <c r="B20" i="2"/>
  <c r="F19" i="2"/>
  <c r="I19" i="2" s="1"/>
  <c r="I18" i="2"/>
  <c r="F18" i="2"/>
  <c r="F17" i="2"/>
  <c r="I17" i="2" s="1"/>
  <c r="H16" i="2"/>
  <c r="F16" i="2"/>
  <c r="H15" i="2"/>
  <c r="F15" i="2"/>
  <c r="H14" i="2"/>
  <c r="F14" i="2"/>
  <c r="H13" i="2"/>
  <c r="F13" i="2"/>
  <c r="I13" i="2" s="1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H5" i="2"/>
  <c r="F5" i="2"/>
  <c r="C50" i="3"/>
  <c r="G49" i="3"/>
  <c r="E49" i="3"/>
  <c r="E48" i="3"/>
  <c r="G48" i="3" s="1"/>
  <c r="G47" i="3"/>
  <c r="E47" i="3"/>
  <c r="E46" i="3"/>
  <c r="G46" i="3" s="1"/>
  <c r="G45" i="3"/>
  <c r="E45" i="3"/>
  <c r="E44" i="3"/>
  <c r="G44" i="3" s="1"/>
  <c r="G43" i="3"/>
  <c r="E43" i="3"/>
  <c r="E42" i="3"/>
  <c r="G42" i="3" s="1"/>
  <c r="G41" i="3"/>
  <c r="E41" i="3"/>
  <c r="E40" i="3"/>
  <c r="G40" i="3" s="1"/>
  <c r="G39" i="3"/>
  <c r="E39" i="3"/>
  <c r="E38" i="3"/>
  <c r="E50" i="3" s="1"/>
  <c r="E23" i="3"/>
  <c r="E22" i="3"/>
  <c r="E21" i="3"/>
  <c r="E20" i="3"/>
  <c r="E19" i="3"/>
  <c r="E18" i="3"/>
  <c r="E17" i="3"/>
  <c r="E16" i="3"/>
  <c r="E15" i="3"/>
  <c r="E14" i="3"/>
  <c r="E13" i="3"/>
  <c r="E12" i="3"/>
  <c r="E24" i="3" s="1"/>
  <c r="E17" i="1" l="1"/>
  <c r="E21" i="1"/>
  <c r="E29" i="1" s="1"/>
  <c r="E30" i="1" s="1"/>
  <c r="G29" i="1"/>
  <c r="G30" i="1" s="1"/>
  <c r="C17" i="1"/>
  <c r="F21" i="1"/>
  <c r="F17" i="1"/>
  <c r="C23" i="1"/>
  <c r="C28" i="1" s="1"/>
  <c r="D15" i="1"/>
  <c r="G17" i="1"/>
  <c r="I16" i="2"/>
  <c r="I11" i="2"/>
  <c r="I6" i="2"/>
  <c r="I8" i="2"/>
  <c r="I10" i="2"/>
  <c r="I12" i="2"/>
  <c r="I7" i="2"/>
  <c r="I15" i="2"/>
  <c r="F20" i="2"/>
  <c r="I14" i="2"/>
  <c r="H20" i="2"/>
  <c r="I9" i="2"/>
  <c r="I5" i="2"/>
  <c r="G38" i="3"/>
  <c r="G50" i="3" s="1"/>
  <c r="E52" i="3" s="1"/>
  <c r="F29" i="1" l="1"/>
  <c r="F30" i="1" s="1"/>
  <c r="D17" i="1"/>
  <c r="D21" i="1"/>
  <c r="D29" i="1" s="1"/>
  <c r="D30" i="1" s="1"/>
  <c r="C30" i="1" s="1"/>
  <c r="C29" i="1" s="1"/>
  <c r="I20" i="2"/>
  <c r="F24" i="2" s="1"/>
  <c r="B14" i="4" l="1"/>
  <c r="B11" i="4"/>
</calcChain>
</file>

<file path=xl/sharedStrings.xml><?xml version="1.0" encoding="utf-8"?>
<sst xmlns="http://schemas.openxmlformats.org/spreadsheetml/2006/main" count="491" uniqueCount="398">
  <si>
    <t>Детализация</t>
  </si>
  <si>
    <t xml:space="preserve"> финансового результата  МУП "Электросеть" </t>
  </si>
  <si>
    <t>за 2015 год по видам деятельности</t>
  </si>
  <si>
    <t>тыс.руб.</t>
  </si>
  <si>
    <t>Доходы от реализации за 2015 год.</t>
  </si>
  <si>
    <t>В том числе:</t>
  </si>
  <si>
    <t>Транспортировка</t>
  </si>
  <si>
    <t xml:space="preserve">Технические условия </t>
  </si>
  <si>
    <t>Прочие</t>
  </si>
  <si>
    <t>Подконтрольные расходы из прибыли  за 2015 год</t>
  </si>
  <si>
    <t>Экономист МУП "Электросеть"                                        Вернигорова А.Г.</t>
  </si>
  <si>
    <t>Расчет по  договору №959/п ОАО "ФСК ЕЭС" (Доп.соглашение № 4)</t>
  </si>
  <si>
    <t xml:space="preserve">Плановая стоимость услуг по передаче электрической энергии </t>
  </si>
  <si>
    <t xml:space="preserve">на содержание объектов электросетевого хозяйства, </t>
  </si>
  <si>
    <t>входящих в ЕНЭС</t>
  </si>
  <si>
    <t>2017 год</t>
  </si>
  <si>
    <t>Расчетный период</t>
  </si>
  <si>
    <t>Величина заявленной мощности МВ т</t>
  </si>
  <si>
    <t>Ставка руб. /МВт мес.</t>
  </si>
  <si>
    <t>Стоимость услуги по передаче 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</si>
  <si>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</si>
  <si>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</si>
  <si>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</si>
  <si>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</si>
  <si>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</si>
  <si>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</si>
  <si>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</si>
  <si>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</si>
  <si>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</si>
  <si>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</si>
  <si>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</si>
  <si>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</si>
  <si>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без НДС</t>
  </si>
  <si>
    <t>Экономист МУП "Электросеть"                             Вернигорова А.Г.</t>
  </si>
  <si>
    <t xml:space="preserve">Плановая стоимость нормативных потерь (технологического расхода электроэнергии   </t>
  </si>
  <si>
    <t xml:space="preserve"> на ее транспортировку) при передаче электрической энергии на 2017 год.</t>
  </si>
  <si>
    <t>Прием в сеть э/э МВ т</t>
  </si>
  <si>
    <t>Норматив потерь э/э в сетях ФСК %</t>
  </si>
  <si>
    <t>Объем потерь э/э в сетях ФСК %</t>
  </si>
  <si>
    <t>Тариф  на оплату потерь руб/МВт*ч (средний по факту за 2015 год)</t>
  </si>
  <si>
    <t>Стоимость потерь э/э в рублях</t>
  </si>
  <si>
    <t>ВСЕГО</t>
  </si>
  <si>
    <t>Всего затрат  по ОАО "ФСК" на  2017 год</t>
  </si>
  <si>
    <t>сумма без НДС</t>
  </si>
  <si>
    <t>всего</t>
  </si>
  <si>
    <t>Расходы, связанные с передачей эл.энергии ПАО "ФСК ЕЭС" для МУП "Электросеть"</t>
  </si>
  <si>
    <t>2015 год</t>
  </si>
  <si>
    <t>руб.</t>
  </si>
  <si>
    <t>Всего, полезный отпуск</t>
  </si>
  <si>
    <t>в том числе</t>
  </si>
  <si>
    <t>тыс квт.ч</t>
  </si>
  <si>
    <t>заявл.мощность</t>
  </si>
  <si>
    <t>ставка на содерж.сетей</t>
  </si>
  <si>
    <t>Расходы на содерж.сетей</t>
  </si>
  <si>
    <t>ставка на оплату потерь</t>
  </si>
  <si>
    <t>Расходы на передачу</t>
  </si>
  <si>
    <t>корректировка января</t>
  </si>
  <si>
    <t>корректировка февраля</t>
  </si>
  <si>
    <t>корректировка ноября</t>
  </si>
  <si>
    <t>В тарифе учтены расходы на  2015 год</t>
  </si>
  <si>
    <t>5528,72 тыс. рублей.</t>
  </si>
  <si>
    <t>Фактические расходы за 2015 год</t>
  </si>
  <si>
    <t>9072045,26 рублей</t>
  </si>
  <si>
    <t>Наши убытки</t>
  </si>
  <si>
    <t>рублей</t>
  </si>
  <si>
    <t>Экономист</t>
  </si>
  <si>
    <t>А.Г.Вернигорова</t>
  </si>
  <si>
    <t>Таблица 1. Определение величины и уровня потерь электроэнергии при ее передаче по электрическим сетям территориальной сетевой организации</t>
  </si>
  <si>
    <t>на 2017 год</t>
  </si>
  <si>
    <t>Муниципальное унитарное предприятие Ванинского муниципального района "Электросеть"</t>
  </si>
  <si>
    <t>(наименование территориальной сетевой организации)</t>
  </si>
  <si>
    <t>Наименование показателя</t>
  </si>
  <si>
    <t>Ед. измерения</t>
  </si>
  <si>
    <t>Всего</t>
  </si>
  <si>
    <t>В том числе по уровню напряжения</t>
  </si>
  <si>
    <t>ВН</t>
  </si>
  <si>
    <t>СН1</t>
  </si>
  <si>
    <t>СН2</t>
  </si>
  <si>
    <t>НН</t>
  </si>
  <si>
    <t>Базовый период (2015 год)</t>
  </si>
  <si>
    <t xml:space="preserve">Поступление в сеть из других организаций, в том числе: </t>
  </si>
  <si>
    <t>тыс. кВт ч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</si>
  <si>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</si>
  <si>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</si>
  <si>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</si>
  <si>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</si>
  <si>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>Отпуск электроэнергии в сеть</t>
  </si>
  <si>
    <t>Фактические потери электроэнергии</t>
  </si>
  <si>
    <t>%</t>
  </si>
  <si>
    <t>Протяженность линий (воздушных и кабельных) электропередачи в одноцепном выражении</t>
  </si>
  <si>
    <t>км</t>
  </si>
  <si>
    <t>Протяженность воздушных линий электропередачи в одноцепном выражении</t>
  </si>
  <si>
    <t>Соотношение протяженности воздушных и кабельных линий электропередачи в одноцепном выражении (доля ВЛ)</t>
  </si>
  <si>
    <t>Норматив потерь электроэнергии по приказу Минэнерго России от 30.09.2014 № 674</t>
  </si>
  <si>
    <t>Регулируемый период (2017 год)</t>
  </si>
  <si>
    <t>Плановый отпуск электроэнергии в сеть</t>
  </si>
  <si>
    <t>Уровень потерь электроэнергии</t>
  </si>
  <si>
    <t>Величина потерь электроэнергии</t>
  </si>
  <si>
    <t>Примечание:</t>
  </si>
  <si>
    <t>Данные о поступлении в сеть в базовом периоде принимаются в соответствии с отчетной формой № 46-ЭЭ (передача)</t>
  </si>
  <si>
    <t>Смета расходов, связанных с передачей электрической энергии по сетям МУП "Электросеть"за 2015 год</t>
  </si>
  <si>
    <t>п.п.</t>
  </si>
  <si>
    <t>Комитет по Ценам</t>
  </si>
  <si>
    <t>МУП Электросеть</t>
  </si>
  <si>
    <t xml:space="preserve"> 2015 год план</t>
  </si>
  <si>
    <t xml:space="preserve"> 2015 год факт</t>
  </si>
  <si>
    <t>1.</t>
  </si>
  <si>
    <t>Сырье, основные материалы</t>
  </si>
  <si>
    <t>2.</t>
  </si>
  <si>
    <t>Вспомогательные материалы</t>
  </si>
  <si>
    <t>из них на ремонт</t>
  </si>
  <si>
    <t>3.</t>
  </si>
  <si>
    <t>Работы и услуги производственного  характера(крыша +ДИМ)</t>
  </si>
  <si>
    <t>4.</t>
  </si>
  <si>
    <t>Топливо на технологические цели</t>
  </si>
  <si>
    <t>5.</t>
  </si>
  <si>
    <t xml:space="preserve">Энергия </t>
  </si>
  <si>
    <t>5.1.</t>
  </si>
  <si>
    <t>электрическая</t>
  </si>
  <si>
    <t>5.2.</t>
  </si>
  <si>
    <t>тепловая</t>
  </si>
  <si>
    <t>6.</t>
  </si>
  <si>
    <t>Затраты на оплату труда</t>
  </si>
  <si>
    <t>7.</t>
  </si>
  <si>
    <t>Отчисления на социальные нужды</t>
  </si>
  <si>
    <t>8.</t>
  </si>
  <si>
    <t>Амортизация основных средств</t>
  </si>
  <si>
    <t>9.</t>
  </si>
  <si>
    <t>Прочие затраты всего , в том числе:</t>
  </si>
  <si>
    <t>9.1.</t>
  </si>
  <si>
    <t>Целевые средства на НИОКР(расчет потерь, энергоаудит, разработка инвестиционной программы))</t>
  </si>
  <si>
    <t>9.2.</t>
  </si>
  <si>
    <t>Средства на  страхование автотехники</t>
  </si>
  <si>
    <t>9.3.</t>
  </si>
  <si>
    <t>Плата за предельно допустимые выбросы (сбросы)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</si>
  <si>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</si>
  <si>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</si>
  <si>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</si>
  <si>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</si>
  <si>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</si>
  <si>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</si>
  <si>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</si>
  <si>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</si>
  <si>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</si>
  <si>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</si>
  <si>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</si>
  <si>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</si>
  <si>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</si>
  <si>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</si>
  <si>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</si>
  <si>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>Другие затраты, относимые на себестоимость продукции,всего</t>
  </si>
  <si>
    <t xml:space="preserve"> </t>
  </si>
  <si>
    <t>в т.ч.</t>
  </si>
  <si>
    <t>9.8.1.</t>
  </si>
  <si>
    <t>Арендная плата</t>
  </si>
  <si>
    <t>9.9.</t>
  </si>
  <si>
    <t>Денежные выплаты социального характера ( по коллективному договору)</t>
  </si>
  <si>
    <t>10.</t>
  </si>
  <si>
    <t>Итого расходов</t>
  </si>
  <si>
    <t>11.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</si>
  <si>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</si>
  <si>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</si>
  <si>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</si>
  <si>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</si>
  <si>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</si>
  <si>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</si>
  <si>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</si>
  <si>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</si>
  <si>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</si>
  <si>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</si>
  <si>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</si>
  <si>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</si>
  <si>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</si>
  <si>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 без абонплаты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</si>
  <si>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</si>
  <si>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</si>
  <si>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</si>
  <si>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</si>
  <si>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</si>
  <si>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</si>
  <si>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</si>
  <si>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</si>
  <si>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</si>
  <si>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</si>
  <si>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прибыль</t>
  </si>
  <si>
    <t>НВВ</t>
  </si>
  <si>
    <t>Расшифровка по другим затратам, относимым на себестоимость продукции (п.9.8.)</t>
  </si>
  <si>
    <t>предприятия МУП "Электросеть"</t>
  </si>
  <si>
    <t xml:space="preserve">Кадастровые работы </t>
  </si>
  <si>
    <t>Услуги банка</t>
  </si>
  <si>
    <t>Расходы на оплату услуг связи</t>
  </si>
  <si>
    <t>Расходы на информационные услуги</t>
  </si>
  <si>
    <t>Расходы на канцелярские принадлежности</t>
  </si>
  <si>
    <t>Расходы на вневедомственную охрану</t>
  </si>
  <si>
    <t>Командировочные расходы</t>
  </si>
  <si>
    <t>Проезд кместу работыв п. Кенада</t>
  </si>
  <si>
    <t>Подготовка кадров(семинары, курсы)</t>
  </si>
  <si>
    <t>Расходы на расчет экологии</t>
  </si>
  <si>
    <t>Услуги Почты  (марки и конверты)</t>
  </si>
  <si>
    <t>Техинвентарь</t>
  </si>
  <si>
    <t>Аренда спецтехники</t>
  </si>
  <si>
    <t>Переоценка основных средств</t>
  </si>
  <si>
    <t>Аренда жилья</t>
  </si>
  <si>
    <t>Коммунальные услуги</t>
  </si>
  <si>
    <t>Ежегодные права на использование программ для ПК, лицензии, электронные ключи</t>
  </si>
  <si>
    <t xml:space="preserve">Программа 1С:Бухгалтерия с ИТС  </t>
  </si>
  <si>
    <t>Обсл.программы "Табличный расчет зарплаты"</t>
  </si>
  <si>
    <t>Аттестация рабочих мест</t>
  </si>
  <si>
    <t>Вывоз мусора</t>
  </si>
  <si>
    <t>Коммунальное хозяйство( долевое участие в содержании и ремонте общедомового имущества)</t>
  </si>
  <si>
    <t>Расходы на обеспечение нормальных условий труда и мер по ТБ  в т.ч.:</t>
  </si>
  <si>
    <t>Услуги по доставке материалов</t>
  </si>
  <si>
    <t>Расходы на госрегистрацию права на имущество</t>
  </si>
  <si>
    <t>Услуги по разработке инвестиционной программы</t>
  </si>
  <si>
    <t>Ремонт,обслуживание ЭВМ</t>
  </si>
  <si>
    <t>Проведение медосмотров</t>
  </si>
  <si>
    <t>Оплата проезда в отпуск</t>
  </si>
  <si>
    <t>25,6/3года=8,5</t>
  </si>
  <si>
    <t>Расходы на экспертизу пром.безопасности</t>
  </si>
  <si>
    <t>Расшифровка по материалам и прочим материалам</t>
  </si>
  <si>
    <t>Вспомогательные материалы, в том числе</t>
  </si>
  <si>
    <t>Запасные части для транспортного средства</t>
  </si>
  <si>
    <t>Инструменты по электробезопасности</t>
  </si>
  <si>
    <t>Расходы на приборы учета</t>
  </si>
  <si>
    <t>Расходы на ГСМ</t>
  </si>
  <si>
    <t>Средства для уборки помещений</t>
  </si>
  <si>
    <t>Другие затраты :Спецодежда</t>
  </si>
  <si>
    <t>Анализ экономической обоснованности величины расходов из прибыли</t>
  </si>
  <si>
    <t xml:space="preserve"> Прибыль на развитие производства</t>
  </si>
  <si>
    <t xml:space="preserve">капитальные вложения </t>
  </si>
  <si>
    <t xml:space="preserve"> Прибыль на социальное развитие</t>
  </si>
  <si>
    <t>капитальные вложения</t>
  </si>
  <si>
    <t>оплата за лечение</t>
  </si>
  <si>
    <t>оплата путевок в санатории и лагеря</t>
  </si>
  <si>
    <t>оплата проезда к месту отдыха иждевенцы дети</t>
  </si>
  <si>
    <t>доставка работников к месту работы</t>
  </si>
  <si>
    <t>резерв денежных средств на питание при ликвидации аварийных ситуаций</t>
  </si>
  <si>
    <t>оплата новогодних подарков</t>
  </si>
  <si>
    <t>проведение новогоднего утренника</t>
  </si>
  <si>
    <t>спецпитание работникам с вредными условиями труда</t>
  </si>
  <si>
    <t>выплата пособия матерям по уходу за детьми</t>
  </si>
  <si>
    <t>Прибыль на поощрение</t>
  </si>
  <si>
    <t>пособие при выходе на пенсию</t>
  </si>
  <si>
    <t>премирование к праздничным датам</t>
  </si>
  <si>
    <t>приообретение подарков к юбилеям</t>
  </si>
  <si>
    <t>проведение  профессиональных праздников и вечеров</t>
  </si>
  <si>
    <t xml:space="preserve">оказание мат.помощи </t>
  </si>
  <si>
    <t>ритуальные услуги</t>
  </si>
  <si>
    <t>проезд в отпуск иждивенцев</t>
  </si>
  <si>
    <t>Дивиденды по акциям</t>
  </si>
  <si>
    <t>Прибыль на прочие цели</t>
  </si>
  <si>
    <t xml:space="preserve"> % за пользование  кредитом</t>
  </si>
  <si>
    <t>командировочные сверх нормы</t>
  </si>
  <si>
    <t>резервный фонд</t>
  </si>
  <si>
    <t>услуги банка</t>
  </si>
  <si>
    <t>проездные без документов</t>
  </si>
  <si>
    <t>другие(проездные без документов)</t>
  </si>
  <si>
    <t>Прибыль, облагаемая налогом</t>
  </si>
  <si>
    <t>Налоги,сборы и платежи, всего</t>
  </si>
  <si>
    <t xml:space="preserve"> -на прибыль</t>
  </si>
  <si>
    <t xml:space="preserve">Прибыль (убыток)от товарной продукции, в том числе: </t>
  </si>
  <si>
    <t>Необходимая валовая выручка на содержание электрических сетей МУП "Электросеть"</t>
  </si>
  <si>
    <t>Расчет коэффициента индексации</t>
  </si>
  <si>
    <t>№ п/п</t>
  </si>
  <si>
    <t>Показатели</t>
  </si>
  <si>
    <t xml:space="preserve">2016 год </t>
  </si>
  <si>
    <t>2017 год - индексация</t>
  </si>
  <si>
    <t>2017 год с учетом факт. Затрат 2015г.</t>
  </si>
  <si>
    <t>ПОДКОНТРОЛЬНЫЕ РАСХОДЫ</t>
  </si>
  <si>
    <t>ед.изм.</t>
  </si>
  <si>
    <t xml:space="preserve">2015 год </t>
  </si>
  <si>
    <t>2.1</t>
  </si>
  <si>
    <t>Материальные затраты</t>
  </si>
  <si>
    <t>1.1</t>
  </si>
  <si>
    <t>Индекс потребительских цен (инфляция)</t>
  </si>
  <si>
    <t>2.1.1</t>
  </si>
  <si>
    <t>1.2</t>
  </si>
  <si>
    <t>Индекс эффективности подконтрольных расходов</t>
  </si>
  <si>
    <t>2.1.1.1</t>
  </si>
  <si>
    <t>ГСМ</t>
  </si>
  <si>
    <t>1.3</t>
  </si>
  <si>
    <t>Размер активов (количество)</t>
  </si>
  <si>
    <t>у.е.</t>
  </si>
  <si>
    <t>2.1.1.2</t>
  </si>
  <si>
    <t>прочие вспомогательные материалы</t>
  </si>
  <si>
    <t>1.4</t>
  </si>
  <si>
    <t>Индекс изменения количества активов</t>
  </si>
  <si>
    <t>2.1.3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</si>
  <si>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</si>
  <si>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1.5</t>
  </si>
  <si>
    <t>Коэффициент эластичности подконтрольных расходов по количеству активов</t>
  </si>
  <si>
    <t>2.2</t>
  </si>
  <si>
    <t>Расходы на оплату труда</t>
  </si>
  <si>
    <t>1.6</t>
  </si>
  <si>
    <t>Итого, коэффициент индексации</t>
  </si>
  <si>
    <t>2.3</t>
  </si>
  <si>
    <t>Прочие расходы, всего в том числе:</t>
  </si>
  <si>
    <t>Итого подконтрольные расходы</t>
  </si>
  <si>
    <t>тыс.руб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</si>
  <si>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</si>
  <si>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</si>
  <si>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</si>
  <si>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</si>
  <si>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</si>
  <si>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Услуги связи</t>
  </si>
  <si>
    <t>2.3.2.2</t>
  </si>
  <si>
    <t>Расходы на охрану и пожарную безопасность</t>
  </si>
  <si>
    <t>2.3.2.3</t>
  </si>
  <si>
    <t>Расходы на услуги коммунального хозяйства</t>
  </si>
  <si>
    <t>2.3.2.4</t>
  </si>
  <si>
    <t>Расходы на юридические услуги</t>
  </si>
  <si>
    <t>2.3.2.5</t>
  </si>
  <si>
    <t>2.3.2.6</t>
  </si>
  <si>
    <t>Расходы на консультационные услуги</t>
  </si>
  <si>
    <t>2.3.2.7</t>
  </si>
  <si>
    <t>Расходы на аудиторские услуги</t>
  </si>
  <si>
    <t>2.3.2.8</t>
  </si>
  <si>
    <t>Расходы на сертификацию</t>
  </si>
  <si>
    <t>2.3.2.9</t>
  </si>
  <si>
    <t>Транспортные услуги</t>
  </si>
  <si>
    <t>2.3.2.10</t>
  </si>
  <si>
    <t>Расходы на обеспечение нормальных условий труда мер по технике безопасности</t>
  </si>
  <si>
    <t>2.3.2.11</t>
  </si>
  <si>
    <t>Расходы на командировки и представительские расходы</t>
  </si>
  <si>
    <t>2.3.2.12</t>
  </si>
  <si>
    <t>Расходы на подготовку кадров</t>
  </si>
  <si>
    <t>2.3.2.13</t>
  </si>
  <si>
    <t>Расходы на страхование</t>
  </si>
  <si>
    <t>2.3.2.14</t>
  </si>
  <si>
    <t>Целевые средства на НИОКР</t>
  </si>
  <si>
    <t>2.3.2.15</t>
  </si>
  <si>
    <t>Содержание управляющей</t>
  </si>
  <si>
    <t>2.3.2.16</t>
  </si>
  <si>
    <t>Другие прочие расходы</t>
  </si>
  <si>
    <t>3</t>
  </si>
  <si>
    <t>Внереализационные расходы</t>
  </si>
  <si>
    <t>3.1</t>
  </si>
  <si>
    <t>Расходы на услуги банков</t>
  </si>
  <si>
    <t>3.2</t>
  </si>
  <si>
    <t>% за пользование кредитом</t>
  </si>
  <si>
    <t>3.3</t>
  </si>
  <si>
    <t>Расходы на формирование резервов по сомнительным долгам</t>
  </si>
  <si>
    <t>3.4</t>
  </si>
  <si>
    <t>Проезд к месту отдыха работников (1р. В 2 года)</t>
  </si>
  <si>
    <t>4</t>
  </si>
  <si>
    <t>Расходы, не учитываемые в целях налогообложения</t>
  </si>
  <si>
    <t>4.1</t>
  </si>
  <si>
    <t>Дивиденды</t>
  </si>
  <si>
    <t>4.2</t>
  </si>
  <si>
    <t>4.3</t>
  </si>
  <si>
    <t>Резервный фонд</t>
  </si>
  <si>
    <t>4.4</t>
  </si>
  <si>
    <t>Прочие расходы их прибыли</t>
  </si>
  <si>
    <t>ИТОГО ПОДКОНТРОЛЬНЫЕ РАСХОДЫ</t>
  </si>
  <si>
    <t>Неподконтрольные расходы</t>
  </si>
  <si>
    <t>5.1</t>
  </si>
  <si>
    <t>Оплата услуг ОАО "ФСК ЕЭС"</t>
  </si>
  <si>
    <t>5.2</t>
  </si>
  <si>
    <t>Электроэнергия на хоз. нужды</t>
  </si>
  <si>
    <t>5.3</t>
  </si>
  <si>
    <t>Теплоэнергия</t>
  </si>
  <si>
    <t>5.4</t>
  </si>
  <si>
    <t>Холодная вода и водоотведение</t>
  </si>
  <si>
    <t>5.5</t>
  </si>
  <si>
    <t>Плата за аренду имущества и лизинг</t>
  </si>
  <si>
    <t>Налоги ,всего, в т.ч.:</t>
  </si>
  <si>
    <t>5.5.1</t>
  </si>
  <si>
    <t>Плата за землю</t>
  </si>
  <si>
    <t>5.5.2</t>
  </si>
  <si>
    <t>Транспортный налог</t>
  </si>
  <si>
    <t>5.5.3</t>
  </si>
  <si>
    <t>Прочие налоги сборы (экология)</t>
  </si>
  <si>
    <t>5.5.4</t>
  </si>
  <si>
    <t>Налог на имущество</t>
  </si>
  <si>
    <t>5.6</t>
  </si>
  <si>
    <t>Отчисления на социальные нужды (ЕСН)</t>
  </si>
  <si>
    <t>5.7</t>
  </si>
  <si>
    <t>Прочие неподконтрольные расходы - всего</t>
  </si>
  <si>
    <t>5.8</t>
  </si>
  <si>
    <t>Налог на прибыль</t>
  </si>
  <si>
    <t>5.9</t>
  </si>
  <si>
    <t>Выпадающие доходы от технологического присоединения</t>
  </si>
  <si>
    <t>5.10</t>
  </si>
  <si>
    <t>Амортизация</t>
  </si>
  <si>
    <t>5.10.1</t>
  </si>
  <si>
    <t>Амортизация, учитываемая при налогообложении</t>
  </si>
  <si>
    <t>5.10.2</t>
  </si>
  <si>
    <t>Амортизация, не учитываемая при налогообложении</t>
  </si>
  <si>
    <t>5.11</t>
  </si>
  <si>
    <t>Погашение заемных средств</t>
  </si>
  <si>
    <t>5.12</t>
  </si>
  <si>
    <t>Капитальные вложения</t>
  </si>
  <si>
    <t>ИТОГО НЕПОДКОНРОЛЬНЫЕ РАСХОДЫ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</si>
  <si>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</si>
  <si>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</si>
  <si>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</si>
  <si>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</si>
  <si>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 xml:space="preserve">Экономист                                                    А.Г.Вернигорова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</si>
</sst>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 tint="0.1499984740745262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 tint="0.14999847407452621"/>
      <name val="Times New Roman"/>
      <family val="1"/>
      <charset val="204"/>
    </font>
    <font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 tint="0.1499984740745262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4" tint="0.79995117038483843"/>
      </patternFill>
    </fill>
    <fill>
      <patternFill patternType="lightUp">
        <bgColor theme="6" tint="0.79995117038483843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9" fillId="0" borderId="0"/>
    <xf numFmtId="49" fontId="11" fillId="0" borderId="0" applyBorder="0">
      <alignment vertical="top"/>
    </xf>
    <xf numFmtId="0" fontId="9" fillId="0" borderId="0"/>
    <xf numFmtId="0" fontId="9" fillId="0" borderId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0" xfId="0" applyNumberFormat="1" applyFont="1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2" xfId="0" applyFont="1" applyFill="1" applyBorder="1"/>
    <xf numFmtId="0" fontId="0" fillId="0" borderId="1" xfId="0" applyFill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0" fillId="0" borderId="0" xfId="0" applyNumberFormat="1"/>
    <xf numFmtId="0" fontId="6" fillId="0" borderId="0" xfId="1" applyFont="1" applyFill="1" applyBorder="1" applyAlignment="1" applyProtection="1">
      <alignment horizontal="left" vertical="center"/>
    </xf>
    <xf numFmtId="0" fontId="7" fillId="0" borderId="0" xfId="0" applyFont="1" applyProtection="1"/>
    <xf numFmtId="0" fontId="6" fillId="0" borderId="0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Protection="1"/>
    <xf numFmtId="0" fontId="10" fillId="0" borderId="0" xfId="2" applyFont="1" applyBorder="1" applyAlignment="1" applyProtection="1">
      <alignment vertical="center"/>
    </xf>
    <xf numFmtId="49" fontId="10" fillId="0" borderId="0" xfId="3" applyFont="1" applyBorder="1" applyAlignment="1" applyProtection="1">
      <alignment horizontal="right" vertical="center"/>
    </xf>
    <xf numFmtId="0" fontId="12" fillId="0" borderId="0" xfId="0" applyFont="1" applyProtection="1"/>
    <xf numFmtId="0" fontId="10" fillId="0" borderId="1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</xf>
    <xf numFmtId="49" fontId="13" fillId="0" borderId="1" xfId="3" applyFont="1" applyFill="1" applyBorder="1" applyAlignment="1" applyProtection="1">
      <alignment horizontal="center" vertical="center" wrapText="1"/>
    </xf>
    <xf numFmtId="49" fontId="10" fillId="0" borderId="1" xfId="3" applyFont="1" applyBorder="1" applyAlignment="1" applyProtection="1">
      <alignment vertical="center" wrapText="1"/>
    </xf>
    <xf numFmtId="49" fontId="10" fillId="0" borderId="1" xfId="3" applyFont="1" applyBorder="1" applyAlignment="1" applyProtection="1">
      <alignment horizontal="center" vertical="center" wrapText="1"/>
    </xf>
    <xf numFmtId="4" fontId="10" fillId="3" borderId="1" xfId="3" applyNumberFormat="1" applyFont="1" applyFill="1" applyBorder="1" applyAlignment="1" applyProtection="1">
      <alignment horizontal="right" vertical="center"/>
    </xf>
    <xf numFmtId="4" fontId="10" fillId="4" borderId="1" xfId="3" applyNumberFormat="1" applyFont="1" applyFill="1" applyBorder="1" applyAlignment="1" applyProtection="1">
      <alignment horizontal="right" vertical="center"/>
      <protection locked="0"/>
    </xf>
    <xf numFmtId="4" fontId="10" fillId="5" borderId="1" xfId="3" applyNumberFormat="1" applyFont="1" applyFill="1" applyBorder="1" applyAlignment="1" applyProtection="1">
      <alignment horizontal="right" vertical="center"/>
      <protection locked="0"/>
    </xf>
    <xf numFmtId="49" fontId="10" fillId="0" borderId="6" xfId="3" applyFont="1" applyBorder="1" applyAlignment="1" applyProtection="1">
      <alignment horizontal="left" vertical="top" wrapText="1"/>
    </xf>
    <xf numFmtId="49" fontId="10" fillId="0" borderId="7" xfId="3" applyFont="1" applyBorder="1" applyAlignment="1" applyProtection="1">
      <alignment horizontal="left" vertical="top" wrapText="1"/>
    </xf>
    <xf numFmtId="4" fontId="10" fillId="6" borderId="1" xfId="3" applyNumberFormat="1" applyFont="1" applyFill="1" applyBorder="1" applyAlignment="1" applyProtection="1">
      <alignment horizontal="right" vertical="center"/>
    </xf>
    <xf numFmtId="49" fontId="10" fillId="0" borderId="0" xfId="3" applyFont="1" applyBorder="1" applyAlignment="1" applyProtection="1">
      <alignment vertical="center" wrapText="1"/>
    </xf>
    <xf numFmtId="49" fontId="10" fillId="0" borderId="0" xfId="3" applyFont="1" applyBorder="1" applyAlignment="1" applyProtection="1">
      <alignment horizontal="center" vertical="center" wrapText="1"/>
    </xf>
    <xf numFmtId="4" fontId="10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Protection="1"/>
    <xf numFmtId="4" fontId="12" fillId="0" borderId="0" xfId="0" applyNumberFormat="1" applyFont="1" applyProtection="1"/>
    <xf numFmtId="0" fontId="15" fillId="2" borderId="0" xfId="5" applyFont="1" applyFill="1" applyAlignment="1">
      <alignment horizontal="center" vertical="center" wrapText="1"/>
    </xf>
    <xf numFmtId="0" fontId="15" fillId="2" borderId="0" xfId="5" applyFont="1" applyFill="1" applyAlignment="1">
      <alignment horizontal="center" vertical="center" wrapText="1"/>
    </xf>
    <xf numFmtId="0" fontId="16" fillId="2" borderId="0" xfId="0" applyFont="1" applyFill="1"/>
    <xf numFmtId="0" fontId="16" fillId="2" borderId="6" xfId="5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0" xfId="5" applyFont="1" applyFill="1" applyBorder="1" applyAlignment="1">
      <alignment horizontal="center" vertical="center" wrapText="1"/>
    </xf>
    <xf numFmtId="0" fontId="16" fillId="2" borderId="7" xfId="5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5" applyFont="1" applyFill="1" applyBorder="1" applyAlignment="1">
      <alignment horizontal="center"/>
    </xf>
    <xf numFmtId="0" fontId="16" fillId="2" borderId="1" xfId="5" applyFont="1" applyFill="1" applyBorder="1" applyAlignment="1">
      <alignment wrapText="1"/>
    </xf>
    <xf numFmtId="2" fontId="16" fillId="2" borderId="1" xfId="0" applyNumberFormat="1" applyFont="1" applyFill="1" applyBorder="1"/>
    <xf numFmtId="2" fontId="16" fillId="2" borderId="0" xfId="0" applyNumberFormat="1" applyFont="1" applyFill="1"/>
    <xf numFmtId="164" fontId="16" fillId="2" borderId="0" xfId="0" applyNumberFormat="1" applyFont="1" applyFill="1"/>
    <xf numFmtId="164" fontId="16" fillId="2" borderId="1" xfId="0" applyNumberFormat="1" applyFont="1" applyFill="1" applyBorder="1"/>
    <xf numFmtId="0" fontId="16" fillId="2" borderId="1" xfId="5" applyFont="1" applyFill="1" applyBorder="1" applyAlignment="1">
      <alignment horizontal="left" wrapText="1"/>
    </xf>
    <xf numFmtId="0" fontId="16" fillId="2" borderId="1" xfId="5" applyFont="1" applyFill="1" applyBorder="1" applyAlignment="1">
      <alignment horizontal="left" vertical="center" wrapText="1"/>
    </xf>
    <xf numFmtId="2" fontId="16" fillId="7" borderId="1" xfId="0" applyNumberFormat="1" applyFont="1" applyFill="1" applyBorder="1"/>
    <xf numFmtId="0" fontId="16" fillId="2" borderId="1" xfId="5" applyFont="1" applyFill="1" applyBorder="1" applyAlignment="1">
      <alignment horizontal="center" vertical="top"/>
    </xf>
    <xf numFmtId="0" fontId="16" fillId="2" borderId="1" xfId="5" applyFont="1" applyFill="1" applyBorder="1" applyAlignment="1">
      <alignment vertical="top" wrapText="1"/>
    </xf>
    <xf numFmtId="1" fontId="16" fillId="2" borderId="0" xfId="0" applyNumberFormat="1" applyFont="1" applyFill="1"/>
    <xf numFmtId="0" fontId="17" fillId="2" borderId="1" xfId="0" applyFont="1" applyFill="1" applyBorder="1"/>
    <xf numFmtId="16" fontId="16" fillId="2" borderId="1" xfId="5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0" fontId="15" fillId="2" borderId="1" xfId="5" applyFont="1" applyFill="1" applyBorder="1" applyAlignment="1">
      <alignment wrapText="1"/>
    </xf>
    <xf numFmtId="2" fontId="15" fillId="2" borderId="1" xfId="0" applyNumberFormat="1" applyFont="1" applyFill="1" applyBorder="1"/>
    <xf numFmtId="164" fontId="15" fillId="2" borderId="1" xfId="0" applyNumberFormat="1" applyFont="1" applyFill="1" applyBorder="1"/>
    <xf numFmtId="0" fontId="15" fillId="2" borderId="1" xfId="5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top"/>
    </xf>
    <xf numFmtId="0" fontId="16" fillId="2" borderId="7" xfId="0" applyFont="1" applyFill="1" applyBorder="1"/>
    <xf numFmtId="0" fontId="19" fillId="2" borderId="0" xfId="0" applyFont="1" applyFill="1"/>
    <xf numFmtId="0" fontId="16" fillId="2" borderId="0" xfId="0" applyFont="1" applyFill="1" applyAlignment="1">
      <alignment horizontal="left" vertical="center" wrapText="1"/>
    </xf>
    <xf numFmtId="0" fontId="20" fillId="2" borderId="0" xfId="0" applyFont="1" applyFill="1"/>
    <xf numFmtId="0" fontId="21" fillId="2" borderId="1" xfId="0" applyFont="1" applyFill="1" applyBorder="1" applyAlignment="1">
      <alignment wrapText="1"/>
    </xf>
    <xf numFmtId="0" fontId="21" fillId="2" borderId="1" xfId="0" applyFont="1" applyFill="1" applyBorder="1"/>
    <xf numFmtId="0" fontId="22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23" fillId="2" borderId="0" xfId="0" applyFont="1" applyFill="1"/>
    <xf numFmtId="1" fontId="15" fillId="2" borderId="1" xfId="0" applyNumberFormat="1" applyFont="1" applyFill="1" applyBorder="1"/>
    <xf numFmtId="0" fontId="2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5" fillId="2" borderId="1" xfId="0" applyFont="1" applyFill="1" applyBorder="1"/>
    <xf numFmtId="49" fontId="25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/>
    <xf numFmtId="49" fontId="1" fillId="2" borderId="1" xfId="0" applyNumberFormat="1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wrapText="1"/>
    </xf>
    <xf numFmtId="49" fontId="0" fillId="2" borderId="0" xfId="0" applyNumberFormat="1" applyFill="1" applyBorder="1"/>
    <xf numFmtId="0" fontId="25" fillId="2" borderId="0" xfId="0" applyFont="1" applyFill="1" applyBorder="1" applyAlignment="1">
      <alignment wrapText="1"/>
    </xf>
    <xf numFmtId="2" fontId="0" fillId="2" borderId="0" xfId="0" applyNumberFormat="1" applyFill="1" applyBorder="1"/>
    <xf numFmtId="0" fontId="26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/>
    <xf numFmtId="49" fontId="1" fillId="2" borderId="5" xfId="0" applyNumberFormat="1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8" fillId="2" borderId="1" xfId="0" applyFont="1" applyFill="1" applyBorder="1" applyAlignment="1">
      <alignment wrapText="1"/>
    </xf>
  </cellXfs>
  <cellStyles count="6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тарифы на 2002г с 1-01" xfId="5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nigorova\Desktop\&#1056;&#1072;&#1089;&#1095;&#1077;&#1090;%20&#1087;&#1086;&#1090;&#1077;&#1088;&#1100;\&#1056;&#1072;&#1089;&#1095;&#1077;&#1090;%20&#1091;&#1088;&#1086;&#1074;&#1085;&#1103;%20&#1087;&#1086;&#1090;&#1077;&#1088;&#1100;%20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-е величины и уровня потерь "/>
      <sheetName val="Приказ МЭ от 30.09.2014 № 674"/>
      <sheetName val="Пример заполнения"/>
      <sheetName val="Лист1"/>
      <sheetName val="Лист2"/>
    </sheetNames>
    <sheetDataSet>
      <sheetData sheetId="0"/>
      <sheetData sheetId="1">
        <row r="11">
          <cell r="C11">
            <v>6.08</v>
          </cell>
        </row>
        <row r="12">
          <cell r="C12">
            <v>4</v>
          </cell>
        </row>
        <row r="13">
          <cell r="C13">
            <v>2.0699999999999998</v>
          </cell>
        </row>
        <row r="15">
          <cell r="C15">
            <v>7.5</v>
          </cell>
        </row>
        <row r="16">
          <cell r="C16">
            <v>5.4</v>
          </cell>
        </row>
        <row r="17">
          <cell r="C17">
            <v>3.22</v>
          </cell>
        </row>
        <row r="21">
          <cell r="D21">
            <v>6.12</v>
          </cell>
        </row>
        <row r="22">
          <cell r="D22">
            <v>6.48</v>
          </cell>
        </row>
        <row r="23">
          <cell r="D23">
            <v>7.84</v>
          </cell>
        </row>
        <row r="24">
          <cell r="D24">
            <v>4.8499999999999996</v>
          </cell>
        </row>
        <row r="26">
          <cell r="D26">
            <v>7.27</v>
          </cell>
        </row>
        <row r="27">
          <cell r="D27">
            <v>12.02</v>
          </cell>
        </row>
        <row r="28">
          <cell r="D28">
            <v>12.76</v>
          </cell>
        </row>
        <row r="29">
          <cell r="D29">
            <v>8.08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E76" sqref="A1:E76"/>
    </sheetView>
  </sheetViews>
  <sheetFormatPr defaultRowHeight="14.5" x14ac:dyDescent="0.35"/>
  <cols>
    <col min="1" max="1" width="7" style="11" customWidth="1"/>
    <col min="2" max="2" width="45" style="11" customWidth="1"/>
    <col min="3" max="3" width="11" style="11" customWidth="1"/>
    <col min="4" max="4" width="12.6328125" style="11" customWidth="1"/>
    <col min="5" max="5" width="10.54296875" style="11" customWidth="1"/>
    <col min="6" max="6" width="8.7265625" style="11"/>
    <col min="7" max="7" width="7.26953125" style="11" customWidth="1"/>
    <col min="8" max="8" width="46" style="11" customWidth="1"/>
    <col min="9" max="9" width="7.36328125" style="11" customWidth="1"/>
    <col min="10" max="16384" width="8.7265625" style="11"/>
  </cols>
  <sheetData>
    <row r="1" spans="1:12" ht="26" x14ac:dyDescent="0.35">
      <c r="B1" s="94" t="s">
        <v>261</v>
      </c>
    </row>
    <row r="2" spans="1:12" x14ac:dyDescent="0.35">
      <c r="B2" s="95"/>
      <c r="C2" s="11" t="s">
        <v>3</v>
      </c>
      <c r="G2" s="11" t="s">
        <v>262</v>
      </c>
    </row>
    <row r="3" spans="1:12" ht="43" customHeight="1" x14ac:dyDescent="0.35">
      <c r="A3" s="96" t="s">
        <v>263</v>
      </c>
      <c r="B3" s="96" t="s">
        <v>264</v>
      </c>
      <c r="C3" s="96" t="s">
        <v>265</v>
      </c>
      <c r="D3" s="97" t="s">
        <v>266</v>
      </c>
      <c r="E3" s="124" t="s">
        <v>267</v>
      </c>
      <c r="H3" s="95"/>
      <c r="I3" s="94"/>
      <c r="J3" s="11" t="s">
        <v>3</v>
      </c>
    </row>
    <row r="4" spans="1:12" x14ac:dyDescent="0.35">
      <c r="A4" s="96">
        <v>1</v>
      </c>
      <c r="B4" s="98" t="s">
        <v>268</v>
      </c>
      <c r="C4" s="96"/>
      <c r="D4" s="96"/>
      <c r="E4" s="96"/>
      <c r="G4" s="96" t="s">
        <v>263</v>
      </c>
      <c r="H4" s="96" t="s">
        <v>264</v>
      </c>
      <c r="I4" s="96" t="s">
        <v>269</v>
      </c>
      <c r="J4" s="96" t="s">
        <v>270</v>
      </c>
      <c r="K4" s="96">
        <v>2016</v>
      </c>
      <c r="L4" s="96">
        <v>2017</v>
      </c>
    </row>
    <row r="5" spans="1:12" x14ac:dyDescent="0.35">
      <c r="A5" s="99" t="s">
        <v>271</v>
      </c>
      <c r="B5" s="100" t="s">
        <v>272</v>
      </c>
      <c r="C5" s="100">
        <v>2321.08</v>
      </c>
      <c r="D5" s="101">
        <f>C5*1.077</f>
        <v>2499.8031599999999</v>
      </c>
      <c r="E5" s="101">
        <f>E6</f>
        <v>2897.7981300000001</v>
      </c>
      <c r="G5" s="102" t="s">
        <v>273</v>
      </c>
      <c r="H5" s="11" t="s">
        <v>274</v>
      </c>
      <c r="I5" s="96" t="s">
        <v>88</v>
      </c>
      <c r="J5" s="96">
        <v>6.7</v>
      </c>
      <c r="K5" s="96">
        <v>7.4</v>
      </c>
      <c r="L5" s="96">
        <v>7.8</v>
      </c>
    </row>
    <row r="6" spans="1:12" x14ac:dyDescent="0.35">
      <c r="A6" s="103" t="s">
        <v>275</v>
      </c>
      <c r="B6" s="97" t="s">
        <v>109</v>
      </c>
      <c r="C6" s="96">
        <v>2321.08</v>
      </c>
      <c r="D6" s="104">
        <f t="shared" ref="D6:E40" si="0">C6*1.077</f>
        <v>2499.8031599999999</v>
      </c>
      <c r="E6" s="104">
        <f>E7+E8</f>
        <v>2897.7981300000001</v>
      </c>
      <c r="G6" s="102" t="s">
        <v>276</v>
      </c>
      <c r="H6" s="96" t="s">
        <v>277</v>
      </c>
      <c r="I6" s="96" t="s">
        <v>88</v>
      </c>
      <c r="J6" s="104">
        <v>1</v>
      </c>
      <c r="K6" s="104">
        <v>1</v>
      </c>
      <c r="L6" s="104">
        <v>1</v>
      </c>
    </row>
    <row r="7" spans="1:12" x14ac:dyDescent="0.35">
      <c r="A7" s="103" t="s">
        <v>278</v>
      </c>
      <c r="B7" s="97" t="s">
        <v>279</v>
      </c>
      <c r="C7" s="96">
        <v>1295.69</v>
      </c>
      <c r="D7" s="104">
        <f t="shared" si="0"/>
        <v>1395.45813</v>
      </c>
      <c r="E7" s="104">
        <f>397.99+D7</f>
        <v>1793.44813</v>
      </c>
      <c r="G7" s="102" t="s">
        <v>280</v>
      </c>
      <c r="H7" s="96" t="s">
        <v>281</v>
      </c>
      <c r="I7" s="96" t="s">
        <v>282</v>
      </c>
      <c r="J7" s="96">
        <v>1661.2</v>
      </c>
      <c r="K7" s="96">
        <v>1690.61</v>
      </c>
      <c r="L7" s="96">
        <v>1690.61</v>
      </c>
    </row>
    <row r="8" spans="1:12" x14ac:dyDescent="0.35">
      <c r="A8" s="103" t="s">
        <v>283</v>
      </c>
      <c r="B8" s="97" t="s">
        <v>284</v>
      </c>
      <c r="C8" s="96">
        <v>1025.3900000000001</v>
      </c>
      <c r="D8" s="104">
        <f t="shared" si="0"/>
        <v>1104.34503</v>
      </c>
      <c r="E8" s="104">
        <v>1104.3499999999999</v>
      </c>
      <c r="G8" s="102" t="s">
        <v>285</v>
      </c>
      <c r="H8" s="96" t="s">
        <v>286</v>
      </c>
      <c r="I8" s="96" t="s">
        <v>88</v>
      </c>
      <c r="J8" s="96"/>
      <c r="K8" s="96">
        <v>1.33</v>
      </c>
      <c r="L8" s="96">
        <v>1</v>
      </c>
    </row>
    <row r="9" spans="1:12" ht="36.5" x14ac:dyDescent="0.35">
      <c r="A9" s="103" t="s">
        <v>287</v>
      </c>
      <c r="B9" s="97" t="s">
        <v>288</v>
      </c>
      <c r="C9" s="96">
        <v>0</v>
      </c>
      <c r="D9" s="104">
        <f t="shared" si="0"/>
        <v>0</v>
      </c>
      <c r="E9" s="96"/>
      <c r="G9" s="102" t="s">
        <v>289</v>
      </c>
      <c r="H9" s="97" t="s">
        <v>290</v>
      </c>
      <c r="I9" s="96"/>
      <c r="J9" s="96"/>
      <c r="K9" s="96">
        <v>75</v>
      </c>
      <c r="L9" s="96">
        <v>75</v>
      </c>
    </row>
    <row r="10" spans="1:12" x14ac:dyDescent="0.35">
      <c r="A10" s="105" t="s">
        <v>291</v>
      </c>
      <c r="B10" s="100" t="s">
        <v>292</v>
      </c>
      <c r="C10" s="101">
        <v>30261.72</v>
      </c>
      <c r="D10" s="101">
        <f t="shared" si="0"/>
        <v>32591.872439999999</v>
      </c>
      <c r="E10" s="100">
        <v>32591.87</v>
      </c>
      <c r="G10" s="102" t="s">
        <v>293</v>
      </c>
      <c r="H10" s="96" t="s">
        <v>294</v>
      </c>
      <c r="I10" s="96"/>
      <c r="J10" s="96"/>
      <c r="K10" s="96">
        <v>1.077</v>
      </c>
      <c r="L10" s="96">
        <v>1.077</v>
      </c>
    </row>
    <row r="11" spans="1:12" ht="18" customHeight="1" x14ac:dyDescent="0.35">
      <c r="A11" s="105" t="s">
        <v>295</v>
      </c>
      <c r="B11" s="100" t="s">
        <v>296</v>
      </c>
      <c r="C11" s="100">
        <v>3900.35</v>
      </c>
      <c r="D11" s="101">
        <f t="shared" si="0"/>
        <v>4200.67695</v>
      </c>
      <c r="E11" s="101">
        <f>E12+E13</f>
        <v>8196.0869500000008</v>
      </c>
      <c r="G11" s="96"/>
      <c r="H11" s="96" t="s">
        <v>297</v>
      </c>
      <c r="I11" s="96" t="s">
        <v>298</v>
      </c>
      <c r="J11" s="96">
        <v>34058.5</v>
      </c>
      <c r="K11" s="96">
        <v>36693.879999999997</v>
      </c>
      <c r="L11" s="96">
        <f>K11*L10</f>
        <v>39519.308759999993</v>
      </c>
    </row>
    <row r="12" spans="1:12" x14ac:dyDescent="0.35">
      <c r="A12" s="106" t="s">
        <v>299</v>
      </c>
      <c r="B12" s="97" t="s">
        <v>300</v>
      </c>
      <c r="C12" s="104">
        <v>2216.44</v>
      </c>
      <c r="D12" s="104">
        <f t="shared" si="0"/>
        <v>2387.1058800000001</v>
      </c>
      <c r="E12" s="101">
        <f>2233.92+D12</f>
        <v>4621.0258800000001</v>
      </c>
    </row>
    <row r="13" spans="1:12" x14ac:dyDescent="0.35">
      <c r="A13" s="106" t="s">
        <v>301</v>
      </c>
      <c r="B13" s="96" t="s">
        <v>302</v>
      </c>
      <c r="C13" s="96">
        <v>1683.91</v>
      </c>
      <c r="D13" s="104">
        <f t="shared" si="0"/>
        <v>1813.57107</v>
      </c>
      <c r="E13" s="101">
        <f>1761.49+D13</f>
        <v>3575.0610699999997</v>
      </c>
    </row>
    <row r="14" spans="1:12" x14ac:dyDescent="0.35">
      <c r="A14" s="103" t="s">
        <v>303</v>
      </c>
      <c r="B14" s="96" t="s">
        <v>304</v>
      </c>
      <c r="C14" s="96">
        <v>230.18</v>
      </c>
      <c r="D14" s="104">
        <f t="shared" si="0"/>
        <v>247.90386000000001</v>
      </c>
      <c r="E14" s="104">
        <f>178.25+D14</f>
        <v>426.15386000000001</v>
      </c>
    </row>
    <row r="15" spans="1:12" x14ac:dyDescent="0.35">
      <c r="A15" s="102" t="s">
        <v>305</v>
      </c>
      <c r="B15" s="97" t="s">
        <v>306</v>
      </c>
      <c r="C15" s="104">
        <v>223.99</v>
      </c>
      <c r="D15" s="104">
        <f t="shared" si="0"/>
        <v>241.23723000000001</v>
      </c>
      <c r="E15" s="96">
        <v>243.24</v>
      </c>
    </row>
    <row r="16" spans="1:12" ht="15.5" customHeight="1" x14ac:dyDescent="0.35">
      <c r="A16" s="102" t="s">
        <v>307</v>
      </c>
      <c r="B16" s="96" t="s">
        <v>308</v>
      </c>
      <c r="C16" s="96">
        <v>73.97</v>
      </c>
      <c r="D16" s="104">
        <f t="shared" si="0"/>
        <v>79.665689999999998</v>
      </c>
      <c r="E16" s="96">
        <v>79.67</v>
      </c>
    </row>
    <row r="17" spans="1:5" x14ac:dyDescent="0.35">
      <c r="A17" s="102" t="s">
        <v>309</v>
      </c>
      <c r="B17" s="97" t="s">
        <v>310</v>
      </c>
      <c r="C17" s="104">
        <v>134.66999999999999</v>
      </c>
      <c r="D17" s="104">
        <f t="shared" si="0"/>
        <v>145.03958999999998</v>
      </c>
      <c r="E17" s="96">
        <v>145.04</v>
      </c>
    </row>
    <row r="18" spans="1:5" x14ac:dyDescent="0.35">
      <c r="A18" s="102" t="s">
        <v>311</v>
      </c>
      <c r="B18" s="97" t="s">
        <v>191</v>
      </c>
      <c r="C18" s="96">
        <v>264.14999999999998</v>
      </c>
      <c r="D18" s="104">
        <f t="shared" si="0"/>
        <v>284.48954999999995</v>
      </c>
      <c r="E18" s="104">
        <f>110.21+D18</f>
        <v>394.69954999999993</v>
      </c>
    </row>
    <row r="19" spans="1:5" x14ac:dyDescent="0.35">
      <c r="A19" s="102" t="s">
        <v>312</v>
      </c>
      <c r="B19" s="97" t="s">
        <v>313</v>
      </c>
      <c r="C19" s="104">
        <v>0</v>
      </c>
      <c r="D19" s="104">
        <f t="shared" si="0"/>
        <v>0</v>
      </c>
      <c r="E19" s="96"/>
    </row>
    <row r="20" spans="1:5" x14ac:dyDescent="0.35">
      <c r="A20" s="102" t="s">
        <v>314</v>
      </c>
      <c r="B20" s="97" t="s">
        <v>315</v>
      </c>
      <c r="C20" s="104">
        <v>0</v>
      </c>
      <c r="D20" s="104">
        <f t="shared" si="0"/>
        <v>0</v>
      </c>
      <c r="E20" s="96"/>
    </row>
    <row r="21" spans="1:5" x14ac:dyDescent="0.35">
      <c r="A21" s="102" t="s">
        <v>316</v>
      </c>
      <c r="B21" s="97" t="s">
        <v>317</v>
      </c>
      <c r="C21" s="104">
        <v>0</v>
      </c>
      <c r="D21" s="104">
        <f t="shared" si="0"/>
        <v>0</v>
      </c>
      <c r="E21" s="96"/>
    </row>
    <row r="22" spans="1:5" x14ac:dyDescent="0.35">
      <c r="A22" s="102" t="s">
        <v>318</v>
      </c>
      <c r="B22" s="97" t="s">
        <v>319</v>
      </c>
      <c r="C22" s="104">
        <v>0</v>
      </c>
      <c r="D22" s="104">
        <f t="shared" si="0"/>
        <v>0</v>
      </c>
      <c r="E22" s="96"/>
    </row>
    <row r="23" spans="1:5" ht="29" x14ac:dyDescent="0.35">
      <c r="A23" s="102" t="s">
        <v>320</v>
      </c>
      <c r="B23" s="97" t="s">
        <v>321</v>
      </c>
      <c r="C23" s="104">
        <v>0</v>
      </c>
      <c r="D23" s="104">
        <f t="shared" si="0"/>
        <v>0</v>
      </c>
      <c r="E23" s="96"/>
    </row>
    <row r="24" spans="1:5" ht="29" x14ac:dyDescent="0.35">
      <c r="A24" s="102" t="s">
        <v>322</v>
      </c>
      <c r="B24" s="97" t="s">
        <v>323</v>
      </c>
      <c r="C24" s="96">
        <v>139.13</v>
      </c>
      <c r="D24" s="104">
        <f t="shared" si="0"/>
        <v>149.84300999999999</v>
      </c>
      <c r="E24" s="104">
        <f>237.36+D24</f>
        <v>387.20301000000001</v>
      </c>
    </row>
    <row r="25" spans="1:5" x14ac:dyDescent="0.35">
      <c r="A25" s="102" t="s">
        <v>324</v>
      </c>
      <c r="B25" s="107" t="s">
        <v>325</v>
      </c>
      <c r="C25" s="96">
        <v>135.75</v>
      </c>
      <c r="D25" s="104">
        <f t="shared" si="0"/>
        <v>146.20274999999998</v>
      </c>
      <c r="E25" s="104">
        <f>124.1+D25</f>
        <v>270.30274999999995</v>
      </c>
    </row>
    <row r="26" spans="1:5" x14ac:dyDescent="0.35">
      <c r="A26" s="102" t="s">
        <v>326</v>
      </c>
      <c r="B26" s="107" t="s">
        <v>327</v>
      </c>
      <c r="C26" s="96">
        <v>43.1</v>
      </c>
      <c r="D26" s="104">
        <f t="shared" si="0"/>
        <v>46.418700000000001</v>
      </c>
      <c r="E26" s="104">
        <f>11.63+D26</f>
        <v>58.048700000000004</v>
      </c>
    </row>
    <row r="27" spans="1:5" x14ac:dyDescent="0.35">
      <c r="A27" s="102" t="s">
        <v>328</v>
      </c>
      <c r="B27" s="97" t="s">
        <v>329</v>
      </c>
      <c r="C27" s="104">
        <v>0</v>
      </c>
      <c r="D27" s="104">
        <f t="shared" si="0"/>
        <v>0</v>
      </c>
      <c r="E27" s="96"/>
    </row>
    <row r="28" spans="1:5" x14ac:dyDescent="0.35">
      <c r="A28" s="102" t="s">
        <v>330</v>
      </c>
      <c r="B28" s="97" t="s">
        <v>331</v>
      </c>
      <c r="C28" s="104">
        <v>0</v>
      </c>
      <c r="D28" s="104">
        <f t="shared" si="0"/>
        <v>0</v>
      </c>
      <c r="E28" s="96"/>
    </row>
    <row r="29" spans="1:5" x14ac:dyDescent="0.35">
      <c r="A29" s="102" t="s">
        <v>332</v>
      </c>
      <c r="B29" s="97" t="s">
        <v>333</v>
      </c>
      <c r="C29" s="108">
        <v>438.98</v>
      </c>
      <c r="D29" s="104">
        <f t="shared" si="0"/>
        <v>472.78145999999998</v>
      </c>
      <c r="E29" s="104">
        <f>1167.8+D29</f>
        <v>1640.5814599999999</v>
      </c>
    </row>
    <row r="30" spans="1:5" x14ac:dyDescent="0.35">
      <c r="A30" s="109" t="s">
        <v>334</v>
      </c>
      <c r="B30" s="110" t="s">
        <v>335</v>
      </c>
      <c r="C30" s="101">
        <v>57.5</v>
      </c>
      <c r="D30" s="101">
        <f>D31+D34</f>
        <v>251.32749999999999</v>
      </c>
      <c r="E30" s="101">
        <f>E31+E34</f>
        <v>256.09591749999998</v>
      </c>
    </row>
    <row r="31" spans="1:5" x14ac:dyDescent="0.35">
      <c r="A31" s="102" t="s">
        <v>336</v>
      </c>
      <c r="B31" s="97" t="s">
        <v>337</v>
      </c>
      <c r="C31" s="104">
        <v>57.5</v>
      </c>
      <c r="D31" s="104">
        <f t="shared" si="0"/>
        <v>61.927499999999995</v>
      </c>
      <c r="E31" s="104">
        <f t="shared" si="0"/>
        <v>66.695917499999993</v>
      </c>
    </row>
    <row r="32" spans="1:5" x14ac:dyDescent="0.35">
      <c r="A32" s="102" t="s">
        <v>338</v>
      </c>
      <c r="B32" s="97" t="s">
        <v>339</v>
      </c>
      <c r="C32" s="104">
        <v>0</v>
      </c>
      <c r="D32" s="104">
        <f t="shared" si="0"/>
        <v>0</v>
      </c>
      <c r="E32" s="104">
        <f t="shared" si="0"/>
        <v>0</v>
      </c>
    </row>
    <row r="33" spans="1:5" ht="29" x14ac:dyDescent="0.35">
      <c r="A33" s="102" t="s">
        <v>340</v>
      </c>
      <c r="B33" s="97" t="s">
        <v>341</v>
      </c>
      <c r="C33" s="104">
        <v>0</v>
      </c>
      <c r="D33" s="104">
        <f t="shared" si="0"/>
        <v>0</v>
      </c>
      <c r="E33" s="104">
        <f t="shared" si="0"/>
        <v>0</v>
      </c>
    </row>
    <row r="34" spans="1:5" x14ac:dyDescent="0.35">
      <c r="A34" s="102" t="s">
        <v>342</v>
      </c>
      <c r="B34" s="97" t="s">
        <v>343</v>
      </c>
      <c r="C34" s="104">
        <v>0</v>
      </c>
      <c r="D34" s="104">
        <v>189.4</v>
      </c>
      <c r="E34" s="104">
        <v>189.4</v>
      </c>
    </row>
    <row r="35" spans="1:5" ht="29" x14ac:dyDescent="0.35">
      <c r="A35" s="111" t="s">
        <v>344</v>
      </c>
      <c r="B35" s="110" t="s">
        <v>345</v>
      </c>
      <c r="C35" s="101">
        <v>153.22999999999999</v>
      </c>
      <c r="D35" s="101">
        <f>D37+D38</f>
        <v>165.02870999999999</v>
      </c>
      <c r="E35" s="101">
        <f>E37+E38</f>
        <v>177.73592066999998</v>
      </c>
    </row>
    <row r="36" spans="1:5" x14ac:dyDescent="0.35">
      <c r="A36" s="102" t="s">
        <v>346</v>
      </c>
      <c r="B36" s="97" t="s">
        <v>347</v>
      </c>
      <c r="C36" s="104">
        <v>0</v>
      </c>
      <c r="D36" s="104">
        <f t="shared" si="0"/>
        <v>0</v>
      </c>
      <c r="E36" s="104">
        <f t="shared" si="0"/>
        <v>0</v>
      </c>
    </row>
    <row r="37" spans="1:5" ht="29" x14ac:dyDescent="0.35">
      <c r="A37" s="102" t="s">
        <v>348</v>
      </c>
      <c r="B37" s="97" t="s">
        <v>156</v>
      </c>
      <c r="C37" s="104">
        <v>153.22999999999999</v>
      </c>
      <c r="D37" s="104">
        <f t="shared" si="0"/>
        <v>165.02870999999999</v>
      </c>
      <c r="E37" s="104">
        <f t="shared" si="0"/>
        <v>177.73592066999998</v>
      </c>
    </row>
    <row r="38" spans="1:5" x14ac:dyDescent="0.35">
      <c r="A38" s="102" t="s">
        <v>349</v>
      </c>
      <c r="B38" s="97" t="s">
        <v>350</v>
      </c>
      <c r="C38" s="104">
        <v>0</v>
      </c>
      <c r="D38" s="104">
        <v>0</v>
      </c>
      <c r="E38" s="104">
        <v>0</v>
      </c>
    </row>
    <row r="39" spans="1:5" x14ac:dyDescent="0.35">
      <c r="A39" s="102" t="s">
        <v>351</v>
      </c>
      <c r="B39" s="97" t="s">
        <v>352</v>
      </c>
      <c r="C39" s="104">
        <v>0</v>
      </c>
      <c r="D39" s="104">
        <f t="shared" si="0"/>
        <v>0</v>
      </c>
      <c r="E39" s="104">
        <f t="shared" si="0"/>
        <v>0</v>
      </c>
    </row>
    <row r="40" spans="1:5" x14ac:dyDescent="0.35">
      <c r="A40" s="102"/>
      <c r="B40" s="112" t="s">
        <v>353</v>
      </c>
      <c r="C40" s="101">
        <f>C5+C10+C11+C30+C35</f>
        <v>36693.880000000005</v>
      </c>
      <c r="D40" s="101">
        <f>D5+D10+D11+D30+D35</f>
        <v>39708.708760000001</v>
      </c>
      <c r="E40" s="101">
        <f>E5+E10+E11+E30+E35</f>
        <v>44119.586918170004</v>
      </c>
    </row>
    <row r="41" spans="1:5" x14ac:dyDescent="0.35">
      <c r="A41" s="113"/>
      <c r="B41" s="114"/>
      <c r="C41" s="115"/>
    </row>
    <row r="42" spans="1:5" x14ac:dyDescent="0.35">
      <c r="A42" s="113"/>
      <c r="B42" s="114"/>
      <c r="C42" s="115"/>
    </row>
    <row r="43" spans="1:5" x14ac:dyDescent="0.35">
      <c r="A43" s="113"/>
      <c r="B43" s="114"/>
      <c r="C43" s="115"/>
    </row>
    <row r="44" spans="1:5" x14ac:dyDescent="0.35">
      <c r="A44" s="113"/>
      <c r="B44" s="114"/>
      <c r="C44" s="115"/>
    </row>
    <row r="45" spans="1:5" x14ac:dyDescent="0.35">
      <c r="A45" s="113"/>
      <c r="B45" s="114"/>
      <c r="C45" s="11" t="s">
        <v>3</v>
      </c>
    </row>
    <row r="46" spans="1:5" ht="29" x14ac:dyDescent="0.35">
      <c r="A46" s="102"/>
      <c r="B46" s="116" t="s">
        <v>354</v>
      </c>
      <c r="C46" s="96" t="s">
        <v>265</v>
      </c>
      <c r="D46" s="97" t="s">
        <v>266</v>
      </c>
      <c r="E46" s="97" t="s">
        <v>267</v>
      </c>
    </row>
    <row r="47" spans="1:5" x14ac:dyDescent="0.35">
      <c r="A47" s="96" t="s">
        <v>263</v>
      </c>
      <c r="B47" s="96" t="s">
        <v>264</v>
      </c>
      <c r="C47" s="96"/>
      <c r="D47" s="96"/>
      <c r="E47" s="96"/>
    </row>
    <row r="48" spans="1:5" x14ac:dyDescent="0.35">
      <c r="A48" s="102" t="s">
        <v>355</v>
      </c>
      <c r="B48" s="117" t="s">
        <v>356</v>
      </c>
      <c r="C48" s="96">
        <f>9406.08+83.93</f>
        <v>9490.01</v>
      </c>
      <c r="D48" s="100">
        <f>9599.5+3545.33</f>
        <v>13144.83</v>
      </c>
      <c r="E48" s="100">
        <f>9599.5+3545.33</f>
        <v>13144.83</v>
      </c>
    </row>
    <row r="49" spans="1:5" x14ac:dyDescent="0.35">
      <c r="A49" s="102" t="s">
        <v>357</v>
      </c>
      <c r="B49" s="97" t="s">
        <v>358</v>
      </c>
      <c r="C49" s="96">
        <v>0</v>
      </c>
      <c r="D49" s="100">
        <v>64.2</v>
      </c>
      <c r="E49" s="100">
        <v>64.2</v>
      </c>
    </row>
    <row r="50" spans="1:5" s="118" customFormat="1" x14ac:dyDescent="0.35">
      <c r="A50" s="102" t="s">
        <v>359</v>
      </c>
      <c r="B50" s="97" t="s">
        <v>360</v>
      </c>
      <c r="C50" s="96">
        <v>203.25</v>
      </c>
      <c r="D50" s="100">
        <v>218.9</v>
      </c>
      <c r="E50" s="100">
        <v>218.9</v>
      </c>
    </row>
    <row r="51" spans="1:5" s="118" customFormat="1" x14ac:dyDescent="0.35">
      <c r="A51" s="102" t="s">
        <v>361</v>
      </c>
      <c r="B51" s="97" t="s">
        <v>362</v>
      </c>
      <c r="C51" s="96">
        <v>0</v>
      </c>
      <c r="D51" s="100">
        <v>18.3</v>
      </c>
      <c r="E51" s="100">
        <v>18.3</v>
      </c>
    </row>
    <row r="52" spans="1:5" s="118" customFormat="1" x14ac:dyDescent="0.35">
      <c r="A52" s="102" t="s">
        <v>363</v>
      </c>
      <c r="B52" s="97" t="s">
        <v>364</v>
      </c>
      <c r="C52" s="96">
        <v>0</v>
      </c>
      <c r="D52" s="96">
        <v>0</v>
      </c>
      <c r="E52" s="96">
        <v>0</v>
      </c>
    </row>
    <row r="53" spans="1:5" s="118" customFormat="1" x14ac:dyDescent="0.35">
      <c r="A53" s="102" t="s">
        <v>363</v>
      </c>
      <c r="B53" s="97" t="s">
        <v>365</v>
      </c>
      <c r="C53" s="96">
        <v>3545.38</v>
      </c>
      <c r="D53" s="100">
        <f>D55+D56+D57</f>
        <v>3545.43</v>
      </c>
      <c r="E53" s="100">
        <f>E55+E56+E57</f>
        <v>3545.43</v>
      </c>
    </row>
    <row r="54" spans="1:5" s="118" customFormat="1" x14ac:dyDescent="0.35">
      <c r="A54" s="102" t="s">
        <v>366</v>
      </c>
      <c r="B54" s="97" t="s">
        <v>367</v>
      </c>
      <c r="C54" s="96">
        <v>0</v>
      </c>
      <c r="D54" s="96">
        <v>0</v>
      </c>
      <c r="E54" s="96">
        <v>0</v>
      </c>
    </row>
    <row r="55" spans="1:5" s="118" customFormat="1" x14ac:dyDescent="0.35">
      <c r="A55" s="102" t="s">
        <v>368</v>
      </c>
      <c r="B55" s="97" t="s">
        <v>369</v>
      </c>
      <c r="C55" s="96">
        <v>45.55</v>
      </c>
      <c r="D55" s="96">
        <v>45.6</v>
      </c>
      <c r="E55" s="96">
        <v>45.6</v>
      </c>
    </row>
    <row r="56" spans="1:5" x14ac:dyDescent="0.35">
      <c r="A56" s="102" t="s">
        <v>370</v>
      </c>
      <c r="B56" s="97" t="s">
        <v>371</v>
      </c>
      <c r="C56" s="96">
        <v>19.100000000000001</v>
      </c>
      <c r="D56" s="96">
        <v>19.100000000000001</v>
      </c>
      <c r="E56" s="96">
        <v>19.100000000000001</v>
      </c>
    </row>
    <row r="57" spans="1:5" x14ac:dyDescent="0.35">
      <c r="A57" s="102" t="s">
        <v>372</v>
      </c>
      <c r="B57" s="97" t="s">
        <v>373</v>
      </c>
      <c r="C57" s="96">
        <v>3480.73</v>
      </c>
      <c r="D57" s="96">
        <v>3480.73</v>
      </c>
      <c r="E57" s="96">
        <v>3480.73</v>
      </c>
    </row>
    <row r="58" spans="1:5" x14ac:dyDescent="0.35">
      <c r="A58" s="102" t="s">
        <v>374</v>
      </c>
      <c r="B58" s="97" t="s">
        <v>375</v>
      </c>
      <c r="C58" s="96">
        <v>9199.56</v>
      </c>
      <c r="D58" s="101">
        <f>D10*30.4%</f>
        <v>9907.9292217599996</v>
      </c>
      <c r="E58" s="101">
        <f>E10*30.4%</f>
        <v>9907.9284799999987</v>
      </c>
    </row>
    <row r="59" spans="1:5" x14ac:dyDescent="0.35">
      <c r="A59" s="102" t="s">
        <v>376</v>
      </c>
      <c r="B59" s="97" t="s">
        <v>377</v>
      </c>
      <c r="C59" s="96"/>
      <c r="D59" s="96"/>
      <c r="E59" s="96"/>
    </row>
    <row r="60" spans="1:5" x14ac:dyDescent="0.35">
      <c r="A60" s="102" t="s">
        <v>378</v>
      </c>
      <c r="B60" s="97" t="s">
        <v>379</v>
      </c>
      <c r="C60" s="96">
        <v>1540.51</v>
      </c>
      <c r="D60" s="104">
        <f>(D35+D66)*20%</f>
        <v>1365.765742</v>
      </c>
      <c r="E60" s="104">
        <v>1365.77</v>
      </c>
    </row>
    <row r="61" spans="1:5" ht="29" x14ac:dyDescent="0.35">
      <c r="A61" s="102" t="s">
        <v>380</v>
      </c>
      <c r="B61" s="97" t="s">
        <v>381</v>
      </c>
      <c r="C61" s="96">
        <v>1849.82</v>
      </c>
      <c r="D61" s="96"/>
      <c r="E61" s="96"/>
    </row>
    <row r="62" spans="1:5" x14ac:dyDescent="0.35">
      <c r="A62" s="102" t="s">
        <v>382</v>
      </c>
      <c r="B62" s="97" t="s">
        <v>383</v>
      </c>
      <c r="C62" s="96">
        <v>10947.46</v>
      </c>
      <c r="D62" s="100">
        <v>10947.46</v>
      </c>
      <c r="E62" s="100">
        <v>10947.46</v>
      </c>
    </row>
    <row r="63" spans="1:5" x14ac:dyDescent="0.35">
      <c r="A63" s="102" t="s">
        <v>384</v>
      </c>
      <c r="B63" s="97" t="s">
        <v>385</v>
      </c>
      <c r="C63" s="96">
        <v>0</v>
      </c>
      <c r="D63" s="96">
        <v>0</v>
      </c>
      <c r="E63" s="96">
        <v>0</v>
      </c>
    </row>
    <row r="64" spans="1:5" x14ac:dyDescent="0.35">
      <c r="A64" s="102" t="s">
        <v>386</v>
      </c>
      <c r="B64" s="97" t="s">
        <v>387</v>
      </c>
      <c r="C64" s="96">
        <v>10947.46</v>
      </c>
      <c r="D64" s="96">
        <v>10947.46</v>
      </c>
      <c r="E64" s="96">
        <v>10947.46</v>
      </c>
    </row>
    <row r="65" spans="1:5" x14ac:dyDescent="0.35">
      <c r="A65" s="102" t="s">
        <v>388</v>
      </c>
      <c r="B65" s="97" t="s">
        <v>389</v>
      </c>
      <c r="C65" s="96">
        <v>0</v>
      </c>
      <c r="D65" s="96">
        <v>0</v>
      </c>
      <c r="E65" s="96">
        <v>0</v>
      </c>
    </row>
    <row r="66" spans="1:5" x14ac:dyDescent="0.35">
      <c r="A66" s="102" t="s">
        <v>390</v>
      </c>
      <c r="B66" s="97" t="s">
        <v>391</v>
      </c>
      <c r="C66" s="96">
        <v>6008.8</v>
      </c>
      <c r="D66" s="100">
        <v>6663.8</v>
      </c>
      <c r="E66" s="100">
        <v>6663.8</v>
      </c>
    </row>
    <row r="67" spans="1:5" x14ac:dyDescent="0.35">
      <c r="A67" s="102"/>
      <c r="B67" s="112" t="s">
        <v>392</v>
      </c>
      <c r="C67" s="100">
        <f>C48+C49+C50+C52+C53+C58+C60+C61+C62+C65+C66</f>
        <v>42784.789999999994</v>
      </c>
      <c r="D67" s="101">
        <f>D48+D49+D50+D53+D58+D60+D62+D66+D61</f>
        <v>45858.31496376</v>
      </c>
      <c r="E67" s="101">
        <f>E48+E49+E50+E53+E58+E60+E62+E66+E61</f>
        <v>45858.318480000002</v>
      </c>
    </row>
    <row r="68" spans="1:5" x14ac:dyDescent="0.35">
      <c r="A68" s="113"/>
      <c r="B68" s="114"/>
      <c r="C68" s="119"/>
    </row>
    <row r="69" spans="1:5" x14ac:dyDescent="0.35">
      <c r="A69" s="120" t="s">
        <v>393</v>
      </c>
      <c r="B69" s="121"/>
      <c r="C69" s="122"/>
    </row>
    <row r="70" spans="1:5" ht="29" x14ac:dyDescent="0.35">
      <c r="A70" s="102" t="s">
        <v>394</v>
      </c>
      <c r="B70" s="97" t="s">
        <v>393</v>
      </c>
      <c r="C70" s="96"/>
      <c r="D70" s="96"/>
      <c r="E70" s="96"/>
    </row>
    <row r="71" spans="1:5" ht="15.5" x14ac:dyDescent="0.35">
      <c r="A71" s="102" t="s">
        <v>395</v>
      </c>
      <c r="B71" s="123" t="s">
        <v>396</v>
      </c>
      <c r="C71" s="101">
        <f>C40+C67+C70</f>
        <v>79478.67</v>
      </c>
      <c r="D71" s="101">
        <f>D40+D67+D70</f>
        <v>85567.023723760009</v>
      </c>
      <c r="E71" s="101">
        <f>E40+E67+E70</f>
        <v>89977.905398169998</v>
      </c>
    </row>
    <row r="74" spans="1:5" x14ac:dyDescent="0.35">
      <c r="A74" s="11" t="s">
        <v>397</v>
      </c>
    </row>
    <row r="78" spans="1:5" s="118" customFormat="1" x14ac:dyDescent="0.35">
      <c r="A78" s="11"/>
      <c r="B78" s="11"/>
      <c r="C78" s="11"/>
    </row>
    <row r="79" spans="1:5" s="118" customFormat="1" x14ac:dyDescent="0.35">
      <c r="A79" s="11"/>
      <c r="B79" s="11"/>
      <c r="C79" s="11"/>
    </row>
  </sheetData>
  <mergeCells count="1">
    <mergeCell ref="A69:C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sqref="A1:XFD1048576"/>
    </sheetView>
  </sheetViews>
  <sheetFormatPr defaultColWidth="9.1796875" defaultRowHeight="14" x14ac:dyDescent="0.3"/>
  <cols>
    <col min="1" max="1" width="63.81640625" style="31" customWidth="1"/>
    <col min="2" max="2" width="12.453125" style="31" customWidth="1"/>
    <col min="3" max="3" width="13.453125" style="31" customWidth="1"/>
    <col min="4" max="7" width="15.7265625" style="31" customWidth="1"/>
    <col min="8" max="16384" width="9.1796875" style="31"/>
  </cols>
  <sheetData>
    <row r="1" spans="1:7" s="23" customFormat="1" ht="16.5" customHeight="1" x14ac:dyDescent="0.35">
      <c r="A1" s="22" t="s">
        <v>67</v>
      </c>
      <c r="B1" s="22"/>
      <c r="C1" s="22"/>
      <c r="D1" s="22"/>
      <c r="E1" s="22"/>
      <c r="F1" s="22"/>
      <c r="G1" s="22"/>
    </row>
    <row r="2" spans="1:7" s="23" customFormat="1" ht="16.5" customHeight="1" x14ac:dyDescent="0.35">
      <c r="A2" s="24" t="s">
        <v>68</v>
      </c>
      <c r="B2" s="24"/>
      <c r="C2" s="24"/>
      <c r="D2" s="24"/>
      <c r="E2" s="24"/>
      <c r="F2" s="24"/>
      <c r="G2" s="24"/>
    </row>
    <row r="3" spans="1:7" s="23" customFormat="1" ht="15.5" x14ac:dyDescent="0.35">
      <c r="A3" s="25" t="s">
        <v>69</v>
      </c>
      <c r="B3" s="25"/>
      <c r="C3" s="25"/>
      <c r="D3" s="25"/>
      <c r="E3" s="25"/>
      <c r="F3" s="25"/>
      <c r="G3" s="25"/>
    </row>
    <row r="4" spans="1:7" s="28" customFormat="1" ht="15.5" x14ac:dyDescent="0.35">
      <c r="A4" s="26" t="s">
        <v>70</v>
      </c>
      <c r="B4" s="27"/>
      <c r="C4" s="27"/>
      <c r="D4" s="27"/>
      <c r="E4" s="27"/>
      <c r="F4" s="27"/>
      <c r="G4" s="27"/>
    </row>
    <row r="5" spans="1:7" x14ac:dyDescent="0.3">
      <c r="A5" s="29"/>
      <c r="B5" s="29"/>
      <c r="C5" s="29"/>
      <c r="D5" s="29"/>
      <c r="E5" s="29"/>
      <c r="F5" s="29"/>
      <c r="G5" s="30"/>
    </row>
    <row r="6" spans="1:7" x14ac:dyDescent="0.3">
      <c r="A6" s="32" t="s">
        <v>71</v>
      </c>
      <c r="B6" s="32" t="s">
        <v>72</v>
      </c>
      <c r="C6" s="32" t="s">
        <v>73</v>
      </c>
      <c r="D6" s="32" t="s">
        <v>74</v>
      </c>
      <c r="E6" s="32"/>
      <c r="F6" s="32"/>
      <c r="G6" s="32"/>
    </row>
    <row r="7" spans="1:7" x14ac:dyDescent="0.3">
      <c r="A7" s="32"/>
      <c r="B7" s="32"/>
      <c r="C7" s="32"/>
      <c r="D7" s="33" t="s">
        <v>75</v>
      </c>
      <c r="E7" s="33" t="s">
        <v>76</v>
      </c>
      <c r="F7" s="33" t="s">
        <v>77</v>
      </c>
      <c r="G7" s="33" t="s">
        <v>78</v>
      </c>
    </row>
    <row r="8" spans="1:7" ht="15" customHeight="1" x14ac:dyDescent="0.3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</row>
    <row r="9" spans="1:7" ht="15" customHeight="1" x14ac:dyDescent="0.3">
      <c r="A9" s="35" t="s">
        <v>79</v>
      </c>
      <c r="B9" s="35"/>
      <c r="C9" s="35"/>
      <c r="D9" s="35"/>
      <c r="E9" s="35"/>
      <c r="F9" s="35"/>
      <c r="G9" s="35"/>
    </row>
    <row r="10" spans="1:7" ht="15" customHeight="1" x14ac:dyDescent="0.3">
      <c r="A10" s="36" t="s">
        <v>80</v>
      </c>
      <c r="B10" s="37" t="s">
        <v>81</v>
      </c>
      <c r="C10" s="38">
        <f>SUM(D10:G10)</f>
        <v>84360.845000000001</v>
      </c>
      <c r="D10" s="38">
        <f>SUM(D11:D13)</f>
        <v>16718.21</v>
      </c>
      <c r="E10" s="38">
        <f>SUM(E11:E13)</f>
        <v>52176.093000000001</v>
      </c>
      <c r="F10" s="38">
        <f>SUM(F11:F13)</f>
        <v>15425.998</v>
      </c>
      <c r="G10" s="38">
        <f>SUM(G11:G13)</f>
        <v>40.543999999999997</v>
      </c>
    </row>
    <row r="11" spans="1:7" ht="15" customHeight="1" x14ac:dyDescent="0.3">
      <c r="A11" s="36" t="s">
        <v>82</v>
      </c>
      <c r="B11" s="37" t="s">
        <v>81</v>
      </c>
      <c r="C11" s="38">
        <f t="shared" ref="C11:C14" si="0">SUM(D11:G11)</f>
        <v>16718.21</v>
      </c>
      <c r="D11" s="39">
        <v>16718.21</v>
      </c>
      <c r="E11" s="39"/>
      <c r="F11" s="39"/>
      <c r="G11" s="39"/>
    </row>
    <row r="12" spans="1:7" ht="15" customHeight="1" x14ac:dyDescent="0.3">
      <c r="A12" s="36" t="s">
        <v>83</v>
      </c>
      <c r="B12" s="37" t="s">
        <v>81</v>
      </c>
      <c r="C12" s="38">
        <f t="shared" si="0"/>
        <v>51024.014999999999</v>
      </c>
      <c r="D12" s="39"/>
      <c r="E12" s="39">
        <v>48583.73</v>
      </c>
      <c r="F12" s="39">
        <v>2440.2849999999999</v>
      </c>
      <c r="G12" s="39"/>
    </row>
    <row r="13" spans="1:7" ht="15" customHeight="1" x14ac:dyDescent="0.3">
      <c r="A13" s="36" t="s">
        <v>84</v>
      </c>
      <c r="B13" s="37" t="s">
        <v>81</v>
      </c>
      <c r="C13" s="38">
        <f t="shared" si="0"/>
        <v>16618.620000000003</v>
      </c>
      <c r="D13" s="39"/>
      <c r="E13" s="39">
        <v>3592.3629999999998</v>
      </c>
      <c r="F13" s="39">
        <v>12985.713</v>
      </c>
      <c r="G13" s="39">
        <v>40.543999999999997</v>
      </c>
    </row>
    <row r="14" spans="1:7" ht="15" customHeight="1" x14ac:dyDescent="0.3">
      <c r="A14" s="36" t="s">
        <v>85</v>
      </c>
      <c r="B14" s="37" t="s">
        <v>81</v>
      </c>
      <c r="C14" s="38">
        <f t="shared" si="0"/>
        <v>141195.91</v>
      </c>
      <c r="D14" s="40"/>
      <c r="E14" s="39">
        <v>16718.21</v>
      </c>
      <c r="F14" s="39">
        <v>68166.3</v>
      </c>
      <c r="G14" s="39">
        <v>56311.4</v>
      </c>
    </row>
    <row r="15" spans="1:7" ht="15" customHeight="1" x14ac:dyDescent="0.3">
      <c r="A15" s="36" t="s">
        <v>86</v>
      </c>
      <c r="B15" s="37" t="s">
        <v>81</v>
      </c>
      <c r="C15" s="38">
        <f>C10</f>
        <v>84360.845000000001</v>
      </c>
      <c r="D15" s="38">
        <f>D10+D14</f>
        <v>16718.21</v>
      </c>
      <c r="E15" s="38">
        <f>E10+E14</f>
        <v>68894.303</v>
      </c>
      <c r="F15" s="38">
        <f>F10+F14</f>
        <v>83592.29800000001</v>
      </c>
      <c r="G15" s="38">
        <f>G10+G14</f>
        <v>56351.944000000003</v>
      </c>
    </row>
    <row r="16" spans="1:7" ht="15" customHeight="1" x14ac:dyDescent="0.3">
      <c r="A16" s="41" t="s">
        <v>87</v>
      </c>
      <c r="B16" s="37" t="s">
        <v>81</v>
      </c>
      <c r="C16" s="38">
        <f>SUM(D16:G16)</f>
        <v>15528</v>
      </c>
      <c r="D16" s="39"/>
      <c r="E16" s="39">
        <v>728</v>
      </c>
      <c r="F16" s="39">
        <v>3843</v>
      </c>
      <c r="G16" s="39">
        <v>10957</v>
      </c>
    </row>
    <row r="17" spans="1:7" ht="15" customHeight="1" x14ac:dyDescent="0.3">
      <c r="A17" s="42"/>
      <c r="B17" s="37" t="s">
        <v>88</v>
      </c>
      <c r="C17" s="38">
        <f>IFERROR(C16/C15*100,0)</f>
        <v>18.406643508608763</v>
      </c>
      <c r="D17" s="38">
        <f>IFERROR(D16/D15*100,0)</f>
        <v>0</v>
      </c>
      <c r="E17" s="38">
        <f t="shared" ref="E17:G17" si="1">IFERROR(E16/E15*100,0)</f>
        <v>1.0566911461460029</v>
      </c>
      <c r="F17" s="38">
        <f t="shared" si="1"/>
        <v>4.5973134989063222</v>
      </c>
      <c r="G17" s="38">
        <f t="shared" si="1"/>
        <v>19.443872246891782</v>
      </c>
    </row>
    <row r="18" spans="1:7" ht="30" customHeight="1" x14ac:dyDescent="0.3">
      <c r="A18" s="36" t="s">
        <v>89</v>
      </c>
      <c r="B18" s="37" t="s">
        <v>90</v>
      </c>
      <c r="C18" s="38">
        <f>SUM(D18:G18)</f>
        <v>219.46</v>
      </c>
      <c r="D18" s="39"/>
      <c r="E18" s="39">
        <v>40.68</v>
      </c>
      <c r="F18" s="39">
        <v>62</v>
      </c>
      <c r="G18" s="39">
        <v>116.78</v>
      </c>
    </row>
    <row r="19" spans="1:7" ht="30" customHeight="1" x14ac:dyDescent="0.3">
      <c r="A19" s="36" t="s">
        <v>91</v>
      </c>
      <c r="B19" s="37" t="s">
        <v>90</v>
      </c>
      <c r="C19" s="38">
        <f>SUM(D19:G19)</f>
        <v>142.82999999999998</v>
      </c>
      <c r="D19" s="39"/>
      <c r="E19" s="39"/>
      <c r="F19" s="39">
        <v>44.83</v>
      </c>
      <c r="G19" s="39">
        <v>98</v>
      </c>
    </row>
    <row r="20" spans="1:7" ht="30" customHeight="1" x14ac:dyDescent="0.3">
      <c r="A20" s="36" t="s">
        <v>92</v>
      </c>
      <c r="B20" s="37" t="s">
        <v>88</v>
      </c>
      <c r="C20" s="43"/>
      <c r="D20" s="38">
        <f>IFERROR(D19/D18*100,0)</f>
        <v>0</v>
      </c>
      <c r="E20" s="38">
        <f t="shared" ref="E20:G20" si="2">IFERROR(E19/E18*100,0)</f>
        <v>0</v>
      </c>
      <c r="F20" s="38">
        <f t="shared" si="2"/>
        <v>72.306451612903217</v>
      </c>
      <c r="G20" s="38">
        <f t="shared" si="2"/>
        <v>83.918479191642405</v>
      </c>
    </row>
    <row r="21" spans="1:7" ht="30" customHeight="1" x14ac:dyDescent="0.3">
      <c r="A21" s="36" t="s">
        <v>93</v>
      </c>
      <c r="B21" s="37" t="s">
        <v>88</v>
      </c>
      <c r="C21" s="43"/>
      <c r="D21" s="38">
        <f>IFERROR(IF(AND(D$15/D$18&gt;0,D$15/D$18&lt;=1500),'[1]Приказ МЭ от 30.09.2014 № 674'!$C$11,IF(AND(D$15/D$18&gt;1500,D$15/D$18&lt;10000),'[1]Приказ МЭ от 30.09.2014 № 674'!$C$12,IF(D$15/D$18&gt;=10000,'[1]Приказ МЭ от 30.09.2014 № 674'!$C$13,0))),'[1]Приказ МЭ от 30.09.2014 № 674'!$C$13)</f>
        <v>2.0699999999999998</v>
      </c>
      <c r="E21" s="38">
        <f>IFERROR(IF(AND(E$15/E$18&gt;0,E$15/E$18&lt;=200),'[1]Приказ МЭ от 30.09.2014 № 674'!$C$15,IF(AND(E$15/E$18&gt;200,E$15/E$18&lt;1000),'[1]Приказ МЭ от 30.09.2014 № 674'!$C$16,IF(E$15/E$18&gt;=1000,'[1]Приказ МЭ от 30.09.2014 № 674'!$C$17,0))),'[1]Приказ МЭ от 30.09.2014 № 674'!$C$17)</f>
        <v>3.22</v>
      </c>
      <c r="F21" s="38">
        <f>IFERROR(IF(AND(F$15/F$18&gt;0,F$15/F$18&lt;1000,F$20&lt;30),'[1]Приказ МЭ от 30.09.2014 № 674'!$D$21,IF(AND(F$15/F$18&gt;=1000,F$20&lt;30),'[1]Приказ МЭ от 30.09.2014 № 674'!$D$22,IF(AND(F$15/F$18&gt;0,F$15/F$18&lt;1000,F$20&gt;=30),'[1]Приказ МЭ от 30.09.2014 № 674'!$D$23,IF(AND(F$15/F$18&gt;=1000,F$20&gt;=30),'[1]Приказ МЭ от 30.09.2014 № 674'!$D$24,)))),'[1]Приказ МЭ от 30.09.2014 № 674'!$D$22)</f>
        <v>4.8499999999999996</v>
      </c>
      <c r="G21" s="38">
        <f>IFERROR(IF(AND(G$15/G$18&gt;0,G$15/G$18&lt;1000,G$20&lt;30),'[1]Приказ МЭ от 30.09.2014 № 674'!$D$26,IF(AND(G$15/G$18&gt;=1000,G$20&lt;30),'[1]Приказ МЭ от 30.09.2014 № 674'!$D$27,IF(AND(G$15/G$18&gt;0,G$15/G$18&lt;1000,G$20&gt;=30),'[1]Приказ МЭ от 30.09.2014 № 674'!$D$28,IF(AND(G$15/G$18&gt;=1000,G$20&gt;=30),'[1]Приказ МЭ от 30.09.2014 № 674'!$D$29,)))),0)</f>
        <v>12.76</v>
      </c>
    </row>
    <row r="22" spans="1:7" ht="15" customHeight="1" x14ac:dyDescent="0.3">
      <c r="A22" s="35" t="s">
        <v>94</v>
      </c>
      <c r="B22" s="35"/>
      <c r="C22" s="35"/>
      <c r="D22" s="35"/>
      <c r="E22" s="35"/>
      <c r="F22" s="35"/>
      <c r="G22" s="35"/>
    </row>
    <row r="23" spans="1:7" ht="15" customHeight="1" x14ac:dyDescent="0.3">
      <c r="A23" s="36" t="s">
        <v>80</v>
      </c>
      <c r="B23" s="37" t="s">
        <v>81</v>
      </c>
      <c r="C23" s="38">
        <f>SUM(D23:G23)</f>
        <v>84725</v>
      </c>
      <c r="D23" s="38">
        <f>SUM(D24:D26)</f>
        <v>16800</v>
      </c>
      <c r="E23" s="38">
        <f t="shared" ref="E23:G23" si="3">SUM(E24:E26)</f>
        <v>52384</v>
      </c>
      <c r="F23" s="38">
        <f t="shared" si="3"/>
        <v>15500</v>
      </c>
      <c r="G23" s="38">
        <f t="shared" si="3"/>
        <v>41</v>
      </c>
    </row>
    <row r="24" spans="1:7" ht="15" customHeight="1" x14ac:dyDescent="0.3">
      <c r="A24" s="36" t="s">
        <v>82</v>
      </c>
      <c r="B24" s="37" t="s">
        <v>81</v>
      </c>
      <c r="C24" s="38">
        <f t="shared" ref="C24:C27" si="4">SUM(D24:G24)</f>
        <v>16800</v>
      </c>
      <c r="D24" s="39">
        <v>16800</v>
      </c>
      <c r="E24" s="39"/>
      <c r="F24" s="39"/>
      <c r="G24" s="39"/>
    </row>
    <row r="25" spans="1:7" ht="15" customHeight="1" x14ac:dyDescent="0.3">
      <c r="A25" s="36" t="s">
        <v>83</v>
      </c>
      <c r="B25" s="37" t="s">
        <v>81</v>
      </c>
      <c r="C25" s="38">
        <f t="shared" si="4"/>
        <v>51034</v>
      </c>
      <c r="D25" s="39"/>
      <c r="E25" s="39">
        <v>48584</v>
      </c>
      <c r="F25" s="39">
        <v>2450</v>
      </c>
      <c r="G25" s="39"/>
    </row>
    <row r="26" spans="1:7" ht="15" customHeight="1" x14ac:dyDescent="0.3">
      <c r="A26" s="36" t="s">
        <v>84</v>
      </c>
      <c r="B26" s="37" t="s">
        <v>81</v>
      </c>
      <c r="C26" s="38">
        <f t="shared" si="4"/>
        <v>16891</v>
      </c>
      <c r="D26" s="39"/>
      <c r="E26" s="39">
        <v>3800</v>
      </c>
      <c r="F26" s="39">
        <v>13050</v>
      </c>
      <c r="G26" s="39">
        <v>41</v>
      </c>
    </row>
    <row r="27" spans="1:7" ht="15" customHeight="1" x14ac:dyDescent="0.3">
      <c r="A27" s="36" t="s">
        <v>85</v>
      </c>
      <c r="B27" s="37" t="s">
        <v>81</v>
      </c>
      <c r="C27" s="38">
        <f t="shared" si="4"/>
        <v>141572.94</v>
      </c>
      <c r="D27" s="40"/>
      <c r="E27" s="39">
        <v>16800</v>
      </c>
      <c r="F27" s="39">
        <v>68452.94</v>
      </c>
      <c r="G27" s="39">
        <v>56320</v>
      </c>
    </row>
    <row r="28" spans="1:7" ht="15" customHeight="1" x14ac:dyDescent="0.3">
      <c r="A28" s="36" t="s">
        <v>95</v>
      </c>
      <c r="B28" s="37" t="s">
        <v>81</v>
      </c>
      <c r="C28" s="38">
        <f>C23</f>
        <v>84725</v>
      </c>
      <c r="D28" s="38">
        <f>D23+D27</f>
        <v>16800</v>
      </c>
      <c r="E28" s="38">
        <f t="shared" ref="E28:G28" si="5">E23+E27</f>
        <v>69184</v>
      </c>
      <c r="F28" s="38">
        <f t="shared" si="5"/>
        <v>83952.94</v>
      </c>
      <c r="G28" s="38">
        <f t="shared" si="5"/>
        <v>56361</v>
      </c>
    </row>
    <row r="29" spans="1:7" ht="15" customHeight="1" x14ac:dyDescent="0.3">
      <c r="A29" s="36" t="s">
        <v>96</v>
      </c>
      <c r="B29" s="37" t="s">
        <v>88</v>
      </c>
      <c r="C29" s="38">
        <f>IFERROR(C30/C23*100,0)</f>
        <v>13.906526581172473</v>
      </c>
      <c r="D29" s="38">
        <f>IFERROR(MIN(D21,D17),0)</f>
        <v>0</v>
      </c>
      <c r="E29" s="38">
        <f t="shared" ref="E29:G29" si="6">IFERROR(MIN(E21,E17),0)</f>
        <v>1.0566911461460029</v>
      </c>
      <c r="F29" s="38">
        <f t="shared" si="6"/>
        <v>4.5973134989063222</v>
      </c>
      <c r="G29" s="38">
        <f t="shared" si="6"/>
        <v>12.76</v>
      </c>
    </row>
    <row r="30" spans="1:7" ht="15" customHeight="1" x14ac:dyDescent="0.3">
      <c r="A30" s="36" t="s">
        <v>97</v>
      </c>
      <c r="B30" s="37" t="s">
        <v>81</v>
      </c>
      <c r="C30" s="38">
        <f>SUM(D30:G30)</f>
        <v>11782.304645898377</v>
      </c>
      <c r="D30" s="38">
        <f>D28*D29/100</f>
        <v>0</v>
      </c>
      <c r="E30" s="38">
        <f>E28*E29/100</f>
        <v>731.0612025496506</v>
      </c>
      <c r="F30" s="38">
        <f>F28*F29/100</f>
        <v>3859.5798433487257</v>
      </c>
      <c r="G30" s="38">
        <f>G28*G29/100</f>
        <v>7191.6635999999999</v>
      </c>
    </row>
    <row r="31" spans="1:7" ht="15" customHeight="1" x14ac:dyDescent="0.3">
      <c r="A31" s="44"/>
      <c r="B31" s="45"/>
      <c r="C31" s="46"/>
      <c r="D31" s="46"/>
      <c r="E31" s="46"/>
      <c r="F31" s="46"/>
      <c r="G31" s="46"/>
    </row>
    <row r="32" spans="1:7" x14ac:dyDescent="0.3">
      <c r="A32" s="47" t="s">
        <v>98</v>
      </c>
    </row>
    <row r="33" spans="1:7" x14ac:dyDescent="0.3">
      <c r="A33" s="31" t="s">
        <v>99</v>
      </c>
      <c r="D33" s="48"/>
      <c r="E33" s="48"/>
      <c r="F33" s="48"/>
      <c r="G33" s="48"/>
    </row>
    <row r="35" spans="1:7" x14ac:dyDescent="0.3">
      <c r="A35" s="31" t="s">
        <v>65</v>
      </c>
      <c r="B35" s="31" t="s">
        <v>66</v>
      </c>
    </row>
  </sheetData>
  <mergeCells count="11">
    <mergeCell ref="A9:G9"/>
    <mergeCell ref="A16:A17"/>
    <mergeCell ref="A22:G22"/>
    <mergeCell ref="A1:G1"/>
    <mergeCell ref="A2:G2"/>
    <mergeCell ref="A3:G3"/>
    <mergeCell ref="A4:G4"/>
    <mergeCell ref="A6:A7"/>
    <mergeCell ref="B6:B7"/>
    <mergeCell ref="C6:C7"/>
    <mergeCell ref="D6:G6"/>
  </mergeCells>
  <dataValidations count="8">
    <dataValidation type="decimal" operator="lessThanOrEqual" allowBlank="1" showErrorMessage="1" errorTitle="Ошибка ввода!!" error="Протяженность ВЛ не может превышать Суммарную протяженность ВЛ и КЛ" sqref="D19">
      <formula1>D18</formula1>
    </dataValidation>
    <dataValidation type="decimal" operator="lessThanOrEqual" allowBlank="1" showErrorMessage="1" errorTitle="Ошибка ввода!!!" error="Протяженность ВЛ не может превышать суммарную протяженность ВЛ и КЛ" sqref="E19:G19">
      <formula1>E18</formula1>
    </dataValidation>
    <dataValidation type="decimal" operator="greaterThanOrEqual" allowBlank="1" showErrorMessage="1" errorTitle="Ошибка ввода!!!" error="Сумма ВЛ и КЛ должна быть болшьше ВЛ" sqref="D18:E18">
      <formula1>D19</formula1>
    </dataValidation>
    <dataValidation type="decimal" operator="greaterThanOrEqual" allowBlank="1" showErrorMessage="1" errorTitle="Ошибка ввода" error="Сумма ВЛ и КЛ должна быть болшьше ВЛ" sqref="F18:G18">
      <formula1>F19</formula1>
    </dataValidation>
    <dataValidation type="decimal" allowBlank="1" showErrorMessage="1" errorTitle="Недопустимое значение" error="Отчетные потери должны быть положительными" sqref="D16:G16">
      <formula1>0</formula1>
      <formula2>D15</formula2>
    </dataValidation>
    <dataValidation type="decimal" allowBlank="1" showErrorMessage="1" errorTitle="Ошибка" error="Допускается ввод только действительных чисел!" sqref="C18:C21 C28:G31 C10:C16 D20:G21 D10:G15">
      <formula1>-9.99999999999999E+23</formula1>
      <formula2>9.99999999999999E+23</formula2>
    </dataValidation>
    <dataValidation type="decimal" operator="greaterThanOrEqual" allowBlank="1" showErrorMessage="1" errorTitle="Недопустимое значение" error="Отчетные потери должны быть положительными" sqref="C17:G17">
      <formula1>0</formula1>
    </dataValidation>
    <dataValidation type="decimal" operator="notEqual" allowBlank="1" showInputMessage="1" showErrorMessage="1" sqref="D24:G27">
      <formula1>0.0000000000000000001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9" workbookViewId="0">
      <selection activeCell="A28" sqref="A28:XFD58"/>
    </sheetView>
  </sheetViews>
  <sheetFormatPr defaultRowHeight="14.5" x14ac:dyDescent="0.35"/>
  <cols>
    <col min="2" max="2" width="10.81640625" customWidth="1"/>
    <col min="3" max="3" width="14.81640625" customWidth="1"/>
    <col min="4" max="5" width="12" customWidth="1"/>
    <col min="6" max="7" width="12.90625" customWidth="1"/>
    <col min="8" max="8" width="10.36328125" bestFit="1" customWidth="1"/>
    <col min="9" max="9" width="13.453125" customWidth="1"/>
  </cols>
  <sheetData>
    <row r="1" spans="1:9" ht="18.5" x14ac:dyDescent="0.45">
      <c r="A1" s="1" t="s">
        <v>45</v>
      </c>
      <c r="B1" s="1"/>
      <c r="C1" s="1"/>
      <c r="D1" s="1"/>
      <c r="E1" s="1"/>
      <c r="F1" s="1"/>
      <c r="G1" s="1"/>
      <c r="H1" s="1"/>
    </row>
    <row r="2" spans="1:9" x14ac:dyDescent="0.35">
      <c r="E2" s="12" t="s">
        <v>46</v>
      </c>
      <c r="H2" t="s">
        <v>47</v>
      </c>
    </row>
    <row r="3" spans="1:9" ht="14.5" customHeight="1" x14ac:dyDescent="0.35">
      <c r="A3" s="5"/>
      <c r="B3" s="17" t="s">
        <v>48</v>
      </c>
      <c r="C3" s="18"/>
      <c r="D3" s="19" t="s">
        <v>49</v>
      </c>
      <c r="E3" s="19"/>
      <c r="F3" s="19"/>
      <c r="G3" s="19"/>
      <c r="H3" s="19"/>
      <c r="I3" s="19"/>
    </row>
    <row r="4" spans="1:9" ht="43.5" x14ac:dyDescent="0.35">
      <c r="A4" s="5"/>
      <c r="B4" s="5" t="s">
        <v>50</v>
      </c>
      <c r="C4" s="5" t="s">
        <v>43</v>
      </c>
      <c r="D4" s="7" t="s">
        <v>51</v>
      </c>
      <c r="E4" s="7" t="s">
        <v>52</v>
      </c>
      <c r="F4" s="7" t="s">
        <v>53</v>
      </c>
      <c r="G4" s="7" t="s">
        <v>54</v>
      </c>
      <c r="H4" s="7" t="s">
        <v>55</v>
      </c>
      <c r="I4" s="19"/>
    </row>
    <row r="5" spans="1:9" x14ac:dyDescent="0.35">
      <c r="A5" s="5">
        <v>1</v>
      </c>
      <c r="B5" s="5">
        <v>152461</v>
      </c>
      <c r="C5" s="8">
        <v>617107.89</v>
      </c>
      <c r="D5" s="5">
        <v>2.3380000000000001</v>
      </c>
      <c r="E5" s="5">
        <v>134589.17000000001</v>
      </c>
      <c r="F5" s="8">
        <f t="shared" ref="F5:F10" si="0">D5*E5</f>
        <v>314669.47946000006</v>
      </c>
      <c r="G5" s="5">
        <v>1983.71</v>
      </c>
      <c r="H5" s="5">
        <f>B5*G5/1000</f>
        <v>302438.41031000001</v>
      </c>
      <c r="I5" s="8">
        <f>F5+H5</f>
        <v>617107.88977000001</v>
      </c>
    </row>
    <row r="6" spans="1:9" x14ac:dyDescent="0.35">
      <c r="A6" s="5">
        <v>2</v>
      </c>
      <c r="B6" s="5">
        <v>133638</v>
      </c>
      <c r="C6" s="5">
        <v>579768.52</v>
      </c>
      <c r="D6" s="5">
        <v>2.3380000000000001</v>
      </c>
      <c r="E6" s="5">
        <v>134589.17000000001</v>
      </c>
      <c r="F6" s="8">
        <f t="shared" si="0"/>
        <v>314669.47946000006</v>
      </c>
      <c r="G6" s="5">
        <v>1983.71</v>
      </c>
      <c r="H6" s="5">
        <f t="shared" ref="H6:H16" si="1">B6*G6/1000</f>
        <v>265099.03698000003</v>
      </c>
      <c r="I6" s="8">
        <f t="shared" ref="I6:I20" si="2">F6+H6</f>
        <v>579768.51644000015</v>
      </c>
    </row>
    <row r="7" spans="1:9" x14ac:dyDescent="0.35">
      <c r="A7" s="5">
        <v>3</v>
      </c>
      <c r="B7" s="5">
        <v>131275</v>
      </c>
      <c r="C7" s="5">
        <v>786655.18</v>
      </c>
      <c r="D7" s="5">
        <v>3.91</v>
      </c>
      <c r="E7" s="5">
        <v>134589.17000000001</v>
      </c>
      <c r="F7" s="8">
        <f t="shared" si="0"/>
        <v>526243.65470000007</v>
      </c>
      <c r="G7" s="5">
        <v>1983.71</v>
      </c>
      <c r="H7" s="5">
        <f t="shared" si="1"/>
        <v>260411.53025000001</v>
      </c>
      <c r="I7" s="8">
        <f t="shared" si="2"/>
        <v>786655.18495000014</v>
      </c>
    </row>
    <row r="8" spans="1:9" x14ac:dyDescent="0.35">
      <c r="A8" s="5">
        <v>4</v>
      </c>
      <c r="B8" s="5">
        <v>112200</v>
      </c>
      <c r="C8" s="8">
        <v>748815.91</v>
      </c>
      <c r="D8" s="5">
        <v>3.91</v>
      </c>
      <c r="E8" s="5">
        <v>134589.17000000001</v>
      </c>
      <c r="F8" s="8">
        <f t="shared" si="0"/>
        <v>526243.65470000007</v>
      </c>
      <c r="G8" s="5">
        <v>1983.71</v>
      </c>
      <c r="H8" s="5">
        <f t="shared" si="1"/>
        <v>222572.26199999999</v>
      </c>
      <c r="I8" s="8">
        <f t="shared" si="2"/>
        <v>748815.91670000006</v>
      </c>
    </row>
    <row r="9" spans="1:9" x14ac:dyDescent="0.35">
      <c r="A9" s="5">
        <v>5</v>
      </c>
      <c r="B9" s="5">
        <v>99090</v>
      </c>
      <c r="C9" s="8">
        <v>722809.47</v>
      </c>
      <c r="D9" s="5">
        <v>3.91</v>
      </c>
      <c r="E9" s="5">
        <v>134589.17000000001</v>
      </c>
      <c r="F9" s="8">
        <f t="shared" si="0"/>
        <v>526243.65470000007</v>
      </c>
      <c r="G9" s="5">
        <v>1983.71</v>
      </c>
      <c r="H9" s="5">
        <f t="shared" si="1"/>
        <v>196565.82390000002</v>
      </c>
      <c r="I9" s="8">
        <f t="shared" si="2"/>
        <v>722809.47860000003</v>
      </c>
    </row>
    <row r="10" spans="1:9" x14ac:dyDescent="0.35">
      <c r="A10" s="5">
        <v>6</v>
      </c>
      <c r="B10" s="5">
        <v>86542</v>
      </c>
      <c r="C10" s="8">
        <v>697917.88</v>
      </c>
      <c r="D10" s="5">
        <v>3.91</v>
      </c>
      <c r="E10" s="5">
        <v>134589.17000000001</v>
      </c>
      <c r="F10" s="8">
        <f t="shared" si="0"/>
        <v>526243.65470000007</v>
      </c>
      <c r="G10" s="5">
        <v>1983.71</v>
      </c>
      <c r="H10" s="5">
        <f t="shared" si="1"/>
        <v>171674.23082</v>
      </c>
      <c r="I10" s="8">
        <f t="shared" si="2"/>
        <v>697917.88552000001</v>
      </c>
    </row>
    <row r="11" spans="1:9" x14ac:dyDescent="0.35">
      <c r="A11" s="5">
        <v>7</v>
      </c>
      <c r="B11" s="5">
        <v>69604</v>
      </c>
      <c r="C11" s="8">
        <v>663139.26</v>
      </c>
      <c r="D11" s="5">
        <v>3.91</v>
      </c>
      <c r="E11" s="5">
        <v>144686.51999999999</v>
      </c>
      <c r="F11" s="8">
        <f>D11*E11</f>
        <v>565724.29319999996</v>
      </c>
      <c r="G11" s="5">
        <v>1399.56</v>
      </c>
      <c r="H11" s="5">
        <f t="shared" si="1"/>
        <v>97414.974239999996</v>
      </c>
      <c r="I11" s="8">
        <f t="shared" si="2"/>
        <v>663139.26743999997</v>
      </c>
    </row>
    <row r="12" spans="1:9" x14ac:dyDescent="0.35">
      <c r="A12" s="5">
        <v>8</v>
      </c>
      <c r="B12" s="5">
        <v>77554</v>
      </c>
      <c r="C12" s="8">
        <v>713549.97</v>
      </c>
      <c r="D12" s="5">
        <v>3.91</v>
      </c>
      <c r="E12" s="5">
        <v>144686.51999999999</v>
      </c>
      <c r="F12" s="8">
        <f t="shared" ref="F12:F19" si="3">D12*E12</f>
        <v>565724.29319999996</v>
      </c>
      <c r="G12" s="8">
        <v>1906.1</v>
      </c>
      <c r="H12" s="5">
        <f t="shared" si="1"/>
        <v>147825.67939999999</v>
      </c>
      <c r="I12" s="8">
        <f t="shared" si="2"/>
        <v>713549.97259999998</v>
      </c>
    </row>
    <row r="13" spans="1:9" x14ac:dyDescent="0.35">
      <c r="A13" s="5">
        <v>9</v>
      </c>
      <c r="B13" s="5">
        <v>85452</v>
      </c>
      <c r="C13" s="8">
        <v>798318.65</v>
      </c>
      <c r="D13" s="5">
        <v>3.91</v>
      </c>
      <c r="E13" s="5">
        <v>144686.51999999999</v>
      </c>
      <c r="F13" s="8">
        <f t="shared" si="3"/>
        <v>565724.29319999996</v>
      </c>
      <c r="G13" s="5">
        <v>2721.93</v>
      </c>
      <c r="H13" s="5">
        <f t="shared" si="1"/>
        <v>232594.36235999997</v>
      </c>
      <c r="I13" s="8">
        <f t="shared" si="2"/>
        <v>798318.65555999987</v>
      </c>
    </row>
    <row r="14" spans="1:9" x14ac:dyDescent="0.35">
      <c r="A14" s="14">
        <v>10</v>
      </c>
      <c r="B14" s="5">
        <v>108823</v>
      </c>
      <c r="C14" s="5">
        <v>707333.48</v>
      </c>
      <c r="D14" s="5">
        <v>3.91</v>
      </c>
      <c r="E14" s="5">
        <v>144686.51999999999</v>
      </c>
      <c r="F14" s="8">
        <f t="shared" si="3"/>
        <v>565724.29319999996</v>
      </c>
      <c r="G14" s="5">
        <v>1301.28</v>
      </c>
      <c r="H14" s="5">
        <f t="shared" si="1"/>
        <v>141609.19344</v>
      </c>
      <c r="I14" s="8">
        <f t="shared" si="2"/>
        <v>707333.48664000002</v>
      </c>
    </row>
    <row r="15" spans="1:9" x14ac:dyDescent="0.35">
      <c r="A15" s="14">
        <v>11</v>
      </c>
      <c r="B15" s="5">
        <v>134009</v>
      </c>
      <c r="C15" s="5">
        <v>602807.36</v>
      </c>
      <c r="D15" s="5">
        <v>2.698</v>
      </c>
      <c r="E15" s="5">
        <v>144686.51999999999</v>
      </c>
      <c r="F15" s="8">
        <f t="shared" si="3"/>
        <v>390364.23095999996</v>
      </c>
      <c r="G15" s="5">
        <v>1585.29</v>
      </c>
      <c r="H15" s="5">
        <f t="shared" si="1"/>
        <v>212443.12761</v>
      </c>
      <c r="I15" s="8">
        <f t="shared" si="2"/>
        <v>602807.35856999992</v>
      </c>
    </row>
    <row r="16" spans="1:9" x14ac:dyDescent="0.35">
      <c r="A16" s="14">
        <v>12</v>
      </c>
      <c r="B16" s="5">
        <v>155168</v>
      </c>
      <c r="C16" s="5">
        <v>837313.29</v>
      </c>
      <c r="D16" s="5">
        <v>3.91</v>
      </c>
      <c r="E16" s="5">
        <v>144686.51999999999</v>
      </c>
      <c r="F16" s="8">
        <f t="shared" si="3"/>
        <v>565724.29319999996</v>
      </c>
      <c r="G16" s="5">
        <v>1750.29</v>
      </c>
      <c r="H16" s="8">
        <f t="shared" si="1"/>
        <v>271588.99871999997</v>
      </c>
      <c r="I16" s="8">
        <f t="shared" si="2"/>
        <v>837313.29191999999</v>
      </c>
    </row>
    <row r="17" spans="1:9" ht="22" x14ac:dyDescent="0.35">
      <c r="A17" s="20" t="s">
        <v>56</v>
      </c>
      <c r="B17" s="5"/>
      <c r="C17" s="5">
        <v>211574.17</v>
      </c>
      <c r="D17" s="5">
        <v>1.5720000000000001</v>
      </c>
      <c r="E17" s="5">
        <v>134589.17000000001</v>
      </c>
      <c r="F17" s="8">
        <f t="shared" si="3"/>
        <v>211574.17524000004</v>
      </c>
      <c r="G17" s="5"/>
      <c r="H17" s="8"/>
      <c r="I17" s="8">
        <f t="shared" si="2"/>
        <v>211574.17524000004</v>
      </c>
    </row>
    <row r="18" spans="1:9" ht="22" x14ac:dyDescent="0.35">
      <c r="A18" s="20" t="s">
        <v>57</v>
      </c>
      <c r="B18" s="5"/>
      <c r="C18" s="5">
        <v>211574.17</v>
      </c>
      <c r="D18" s="5">
        <v>1.5720000000000001</v>
      </c>
      <c r="E18" s="5">
        <v>134589.17000000001</v>
      </c>
      <c r="F18" s="8">
        <f t="shared" si="3"/>
        <v>211574.17524000004</v>
      </c>
      <c r="G18" s="5"/>
      <c r="H18" s="8"/>
      <c r="I18" s="8">
        <f t="shared" si="2"/>
        <v>211574.17524000004</v>
      </c>
    </row>
    <row r="19" spans="1:9" ht="22" x14ac:dyDescent="0.35">
      <c r="A19" s="20" t="s">
        <v>58</v>
      </c>
      <c r="B19" s="5"/>
      <c r="C19" s="5">
        <v>173360.06</v>
      </c>
      <c r="D19" s="5">
        <v>1.212</v>
      </c>
      <c r="E19" s="5">
        <v>144686.51999999999</v>
      </c>
      <c r="F19" s="8">
        <f t="shared" si="3"/>
        <v>175360.06223999997</v>
      </c>
      <c r="G19" s="5"/>
      <c r="H19" s="8"/>
      <c r="I19" s="8">
        <f t="shared" si="2"/>
        <v>175360.06223999997</v>
      </c>
    </row>
    <row r="20" spans="1:9" x14ac:dyDescent="0.35">
      <c r="A20" s="5" t="s">
        <v>44</v>
      </c>
      <c r="B20" s="15">
        <f>SUM(B5:B16)</f>
        <v>1345816</v>
      </c>
      <c r="C20" s="15">
        <f>SUM(C5:C19)</f>
        <v>9072045.2600000016</v>
      </c>
      <c r="D20" s="5"/>
      <c r="E20" s="5"/>
      <c r="F20" s="16">
        <f>SUM(F5:F19)</f>
        <v>6551807.6874000011</v>
      </c>
      <c r="G20" s="5"/>
      <c r="H20" s="16">
        <f t="shared" ref="H20" si="4">SUM(H5:H16)</f>
        <v>2522237.6300299997</v>
      </c>
      <c r="I20" s="16">
        <f t="shared" si="2"/>
        <v>9074045.3174300008</v>
      </c>
    </row>
    <row r="22" spans="1:9" x14ac:dyDescent="0.35">
      <c r="C22" t="s">
        <v>59</v>
      </c>
      <c r="F22" t="s">
        <v>60</v>
      </c>
    </row>
    <row r="23" spans="1:9" x14ac:dyDescent="0.35">
      <c r="C23" t="s">
        <v>61</v>
      </c>
      <c r="F23" t="s">
        <v>62</v>
      </c>
    </row>
    <row r="24" spans="1:9" x14ac:dyDescent="0.35">
      <c r="C24" t="s">
        <v>63</v>
      </c>
      <c r="F24" s="21">
        <f>I20-5528720</f>
        <v>3545325.3174300008</v>
      </c>
      <c r="G24" t="s">
        <v>64</v>
      </c>
    </row>
    <row r="26" spans="1:9" x14ac:dyDescent="0.35">
      <c r="B26" t="s">
        <v>65</v>
      </c>
      <c r="E26" t="s">
        <v>66</v>
      </c>
    </row>
  </sheetData>
  <mergeCells count="4">
    <mergeCell ref="A1:H1"/>
    <mergeCell ref="B3:C3"/>
    <mergeCell ref="D3:H3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5"/>
  <sheetViews>
    <sheetView workbookViewId="0">
      <selection sqref="A1:XFD1048576"/>
    </sheetView>
  </sheetViews>
  <sheetFormatPr defaultRowHeight="14.5" x14ac:dyDescent="0.35"/>
  <cols>
    <col min="1" max="1" width="4.1796875" customWidth="1"/>
    <col min="2" max="2" width="18.7265625" customWidth="1"/>
    <col min="3" max="3" width="15.81640625" customWidth="1"/>
    <col min="4" max="4" width="13.54296875" customWidth="1"/>
    <col min="5" max="5" width="16.1796875" customWidth="1"/>
    <col min="6" max="6" width="13.453125" customWidth="1"/>
    <col min="7" max="7" width="14.81640625" customWidth="1"/>
  </cols>
  <sheetData>
    <row r="4" spans="2:5" ht="15.5" x14ac:dyDescent="0.35">
      <c r="B4" s="6" t="s">
        <v>11</v>
      </c>
      <c r="C4" s="6"/>
      <c r="D4" s="6"/>
    </row>
    <row r="6" spans="2:5" x14ac:dyDescent="0.35">
      <c r="B6" s="3" t="s">
        <v>12</v>
      </c>
      <c r="C6" s="3"/>
      <c r="D6" s="3"/>
      <c r="E6" s="3"/>
    </row>
    <row r="7" spans="2:5" x14ac:dyDescent="0.35">
      <c r="B7" s="3" t="s">
        <v>13</v>
      </c>
      <c r="C7" s="3"/>
      <c r="D7" s="3"/>
      <c r="E7" s="3"/>
    </row>
    <row r="8" spans="2:5" x14ac:dyDescent="0.35">
      <c r="B8" s="3" t="s">
        <v>14</v>
      </c>
      <c r="C8" s="3"/>
      <c r="D8" s="3"/>
      <c r="E8" s="3"/>
    </row>
    <row r="9" spans="2:5" x14ac:dyDescent="0.35">
      <c r="E9" t="s">
        <v>15</v>
      </c>
    </row>
    <row r="10" spans="2:5" ht="43.5" x14ac:dyDescent="0.35">
      <c r="B10" s="5" t="s">
        <v>16</v>
      </c>
      <c r="C10" s="7" t="s">
        <v>17</v>
      </c>
      <c r="D10" s="7" t="s">
        <v>18</v>
      </c>
      <c r="E10" s="7" t="s">
        <v>19</v>
      </c>
    </row>
    <row r="12" spans="2:5" x14ac:dyDescent="0.35">
      <c r="B12" s="5" t="s">
        <v>20</v>
      </c>
      <c r="C12" s="5">
        <v>3.91</v>
      </c>
      <c r="D12" s="5">
        <v>155541.57999999999</v>
      </c>
      <c r="E12" s="8">
        <f>D12*C12</f>
        <v>608167.57779999997</v>
      </c>
    </row>
    <row r="13" spans="2:5" x14ac:dyDescent="0.35">
      <c r="B13" s="5" t="s">
        <v>21</v>
      </c>
      <c r="C13" s="5">
        <v>3.91</v>
      </c>
      <c r="D13" s="5">
        <v>155541.57999999999</v>
      </c>
      <c r="E13" s="8">
        <f t="shared" ref="E13:E23" si="0">D13*C13</f>
        <v>608167.57779999997</v>
      </c>
    </row>
    <row r="14" spans="2:5" x14ac:dyDescent="0.35">
      <c r="B14" s="5" t="s">
        <v>22</v>
      </c>
      <c r="C14" s="5">
        <v>3.91</v>
      </c>
      <c r="D14" s="5">
        <v>155541.57999999999</v>
      </c>
      <c r="E14" s="8">
        <f t="shared" si="0"/>
        <v>608167.57779999997</v>
      </c>
    </row>
    <row r="15" spans="2:5" x14ac:dyDescent="0.35">
      <c r="B15" s="5" t="s">
        <v>23</v>
      </c>
      <c r="C15" s="5">
        <v>3.91</v>
      </c>
      <c r="D15" s="5">
        <v>155541.57999999999</v>
      </c>
      <c r="E15" s="8">
        <f t="shared" si="0"/>
        <v>608167.57779999997</v>
      </c>
    </row>
    <row r="16" spans="2:5" x14ac:dyDescent="0.35">
      <c r="B16" s="5" t="s">
        <v>24</v>
      </c>
      <c r="C16" s="5">
        <v>3.91</v>
      </c>
      <c r="D16" s="5">
        <v>155541.57999999999</v>
      </c>
      <c r="E16" s="8">
        <f t="shared" si="0"/>
        <v>608167.57779999997</v>
      </c>
    </row>
    <row r="17" spans="2:7" x14ac:dyDescent="0.35">
      <c r="B17" s="5" t="s">
        <v>25</v>
      </c>
      <c r="C17" s="5">
        <v>3.91</v>
      </c>
      <c r="D17" s="5">
        <v>155541.57999999999</v>
      </c>
      <c r="E17" s="8">
        <f t="shared" si="0"/>
        <v>608167.57779999997</v>
      </c>
    </row>
    <row r="18" spans="2:7" x14ac:dyDescent="0.35">
      <c r="B18" s="5" t="s">
        <v>26</v>
      </c>
      <c r="C18" s="5">
        <v>3.91</v>
      </c>
      <c r="D18" s="5">
        <v>166457.39000000001</v>
      </c>
      <c r="E18" s="8">
        <f t="shared" si="0"/>
        <v>650848.39490000007</v>
      </c>
    </row>
    <row r="19" spans="2:7" x14ac:dyDescent="0.35">
      <c r="B19" s="5" t="s">
        <v>27</v>
      </c>
      <c r="C19" s="5">
        <v>3.91</v>
      </c>
      <c r="D19" s="5">
        <v>166457.39000000001</v>
      </c>
      <c r="E19" s="8">
        <f t="shared" si="0"/>
        <v>650848.39490000007</v>
      </c>
    </row>
    <row r="20" spans="2:7" x14ac:dyDescent="0.35">
      <c r="B20" s="5" t="s">
        <v>28</v>
      </c>
      <c r="C20" s="5">
        <v>3.91</v>
      </c>
      <c r="D20" s="5">
        <v>166457.39000000001</v>
      </c>
      <c r="E20" s="8">
        <f t="shared" si="0"/>
        <v>650848.39490000007</v>
      </c>
    </row>
    <row r="21" spans="2:7" x14ac:dyDescent="0.35">
      <c r="B21" s="5" t="s">
        <v>29</v>
      </c>
      <c r="C21" s="5">
        <v>3.91</v>
      </c>
      <c r="D21" s="5">
        <v>166457.39000000001</v>
      </c>
      <c r="E21" s="8">
        <f t="shared" si="0"/>
        <v>650848.39490000007</v>
      </c>
    </row>
    <row r="22" spans="2:7" x14ac:dyDescent="0.35">
      <c r="B22" s="5" t="s">
        <v>30</v>
      </c>
      <c r="C22" s="5">
        <v>3.91</v>
      </c>
      <c r="D22" s="5">
        <v>166457.39000000001</v>
      </c>
      <c r="E22" s="8">
        <f t="shared" si="0"/>
        <v>650848.39490000007</v>
      </c>
    </row>
    <row r="23" spans="2:7" x14ac:dyDescent="0.35">
      <c r="B23" s="5" t="s">
        <v>31</v>
      </c>
      <c r="C23" s="5">
        <v>3.91</v>
      </c>
      <c r="D23" s="5">
        <v>166457.39000000001</v>
      </c>
      <c r="E23" s="8">
        <f t="shared" si="0"/>
        <v>650848.39490000007</v>
      </c>
    </row>
    <row r="24" spans="2:7" x14ac:dyDescent="0.35">
      <c r="B24" s="4" t="s">
        <v>32</v>
      </c>
      <c r="C24" s="4"/>
      <c r="D24" s="4"/>
      <c r="E24" s="9">
        <f>SUM(E12:E23)</f>
        <v>7554095.8361999989</v>
      </c>
    </row>
    <row r="25" spans="2:7" x14ac:dyDescent="0.35">
      <c r="B25" s="10"/>
      <c r="C25" s="10"/>
      <c r="D25" s="10"/>
      <c r="E25" s="9"/>
      <c r="G25" s="9"/>
    </row>
    <row r="26" spans="2:7" x14ac:dyDescent="0.35">
      <c r="B26" s="11" t="s">
        <v>33</v>
      </c>
    </row>
    <row r="33" spans="2:7" x14ac:dyDescent="0.35">
      <c r="B33" s="12" t="s">
        <v>34</v>
      </c>
    </row>
    <row r="34" spans="2:7" x14ac:dyDescent="0.35">
      <c r="B34" t="s">
        <v>35</v>
      </c>
    </row>
    <row r="36" spans="2:7" ht="90" customHeight="1" x14ac:dyDescent="0.35">
      <c r="B36" s="5" t="s">
        <v>16</v>
      </c>
      <c r="C36" s="7" t="s">
        <v>36</v>
      </c>
      <c r="D36" s="7" t="s">
        <v>37</v>
      </c>
      <c r="E36" s="7" t="s">
        <v>38</v>
      </c>
      <c r="F36" s="7" t="s">
        <v>39</v>
      </c>
      <c r="G36" s="7" t="s">
        <v>40</v>
      </c>
    </row>
    <row r="37" spans="2:7" x14ac:dyDescent="0.35">
      <c r="B37" t="s">
        <v>15</v>
      </c>
    </row>
    <row r="38" spans="2:7" x14ac:dyDescent="0.35">
      <c r="B38" s="5" t="s">
        <v>20</v>
      </c>
      <c r="C38" s="5">
        <v>1620</v>
      </c>
      <c r="D38" s="5">
        <v>7.92</v>
      </c>
      <c r="E38" s="8">
        <f>C38*D38%</f>
        <v>128.304</v>
      </c>
      <c r="F38" s="5">
        <v>1874.13</v>
      </c>
      <c r="G38" s="8">
        <f>E38*F38</f>
        <v>240458.37552000003</v>
      </c>
    </row>
    <row r="39" spans="2:7" x14ac:dyDescent="0.35">
      <c r="B39" s="5" t="s">
        <v>21</v>
      </c>
      <c r="C39" s="5">
        <v>1310</v>
      </c>
      <c r="D39" s="5">
        <v>7.92</v>
      </c>
      <c r="E39" s="8">
        <f t="shared" ref="E39:E49" si="1">C39*D39%</f>
        <v>103.752</v>
      </c>
      <c r="F39" s="5">
        <v>1874.13</v>
      </c>
      <c r="G39" s="8">
        <f t="shared" ref="G39:G49" si="2">E39*F39</f>
        <v>194444.73576000001</v>
      </c>
    </row>
    <row r="40" spans="2:7" x14ac:dyDescent="0.35">
      <c r="B40" s="5" t="s">
        <v>22</v>
      </c>
      <c r="C40" s="5">
        <v>1190</v>
      </c>
      <c r="D40" s="5">
        <v>7.92</v>
      </c>
      <c r="E40" s="8">
        <f t="shared" si="1"/>
        <v>94.24799999999999</v>
      </c>
      <c r="F40" s="5">
        <v>1874.13</v>
      </c>
      <c r="G40" s="8">
        <f t="shared" si="2"/>
        <v>176633.00423999998</v>
      </c>
    </row>
    <row r="41" spans="2:7" x14ac:dyDescent="0.35">
      <c r="B41" s="5" t="s">
        <v>23</v>
      </c>
      <c r="C41" s="5">
        <v>940</v>
      </c>
      <c r="D41" s="5">
        <v>7.92</v>
      </c>
      <c r="E41" s="8">
        <f t="shared" si="1"/>
        <v>74.447999999999993</v>
      </c>
      <c r="F41" s="5">
        <v>1874.13</v>
      </c>
      <c r="G41" s="8">
        <f t="shared" si="2"/>
        <v>139525.23024</v>
      </c>
    </row>
    <row r="42" spans="2:7" x14ac:dyDescent="0.35">
      <c r="B42" s="5" t="s">
        <v>24</v>
      </c>
      <c r="C42" s="5">
        <v>880</v>
      </c>
      <c r="D42" s="5">
        <v>7.92</v>
      </c>
      <c r="E42" s="8">
        <f t="shared" si="1"/>
        <v>69.695999999999998</v>
      </c>
      <c r="F42" s="5">
        <v>1874.13</v>
      </c>
      <c r="G42" s="8">
        <f t="shared" si="2"/>
        <v>130619.36448</v>
      </c>
    </row>
    <row r="43" spans="2:7" x14ac:dyDescent="0.35">
      <c r="B43" s="5" t="s">
        <v>25</v>
      </c>
      <c r="C43" s="5">
        <v>950</v>
      </c>
      <c r="D43" s="5">
        <v>7.92</v>
      </c>
      <c r="E43" s="8">
        <f t="shared" si="1"/>
        <v>75.239999999999995</v>
      </c>
      <c r="F43" s="5">
        <v>1874.13</v>
      </c>
      <c r="G43" s="8">
        <f t="shared" si="2"/>
        <v>141009.54120000001</v>
      </c>
    </row>
    <row r="44" spans="2:7" x14ac:dyDescent="0.35">
      <c r="B44" s="5" t="s">
        <v>26</v>
      </c>
      <c r="C44" s="5">
        <v>950</v>
      </c>
      <c r="D44" s="5">
        <v>7.92</v>
      </c>
      <c r="E44" s="8">
        <f t="shared" si="1"/>
        <v>75.239999999999995</v>
      </c>
      <c r="F44" s="5">
        <v>1874.13</v>
      </c>
      <c r="G44" s="8">
        <f t="shared" si="2"/>
        <v>141009.54120000001</v>
      </c>
    </row>
    <row r="45" spans="2:7" x14ac:dyDescent="0.35">
      <c r="B45" s="5" t="s">
        <v>27</v>
      </c>
      <c r="C45" s="5">
        <v>880</v>
      </c>
      <c r="D45" s="5">
        <v>7.92</v>
      </c>
      <c r="E45" s="8">
        <f t="shared" si="1"/>
        <v>69.695999999999998</v>
      </c>
      <c r="F45" s="5">
        <v>1874.13</v>
      </c>
      <c r="G45" s="8">
        <f t="shared" si="2"/>
        <v>130619.36448</v>
      </c>
    </row>
    <row r="46" spans="2:7" x14ac:dyDescent="0.35">
      <c r="B46" s="5" t="s">
        <v>28</v>
      </c>
      <c r="C46" s="5">
        <v>940</v>
      </c>
      <c r="D46" s="5">
        <v>7.92</v>
      </c>
      <c r="E46" s="8">
        <f t="shared" si="1"/>
        <v>74.447999999999993</v>
      </c>
      <c r="F46" s="5">
        <v>1874.13</v>
      </c>
      <c r="G46" s="8">
        <f t="shared" si="2"/>
        <v>139525.23024</v>
      </c>
    </row>
    <row r="47" spans="2:7" x14ac:dyDescent="0.35">
      <c r="B47" s="5" t="s">
        <v>29</v>
      </c>
      <c r="C47" s="5">
        <v>1190</v>
      </c>
      <c r="D47" s="5">
        <v>7.92</v>
      </c>
      <c r="E47" s="8">
        <f t="shared" si="1"/>
        <v>94.24799999999999</v>
      </c>
      <c r="F47" s="5">
        <v>1874.13</v>
      </c>
      <c r="G47" s="8">
        <f t="shared" si="2"/>
        <v>176633.00423999998</v>
      </c>
    </row>
    <row r="48" spans="2:7" x14ac:dyDescent="0.35">
      <c r="B48" s="5" t="s">
        <v>30</v>
      </c>
      <c r="C48" s="5">
        <v>1310</v>
      </c>
      <c r="D48" s="5">
        <v>7.92</v>
      </c>
      <c r="E48" s="8">
        <f t="shared" si="1"/>
        <v>103.752</v>
      </c>
      <c r="F48" s="5">
        <v>1874.13</v>
      </c>
      <c r="G48" s="8">
        <f t="shared" si="2"/>
        <v>194444.73576000001</v>
      </c>
    </row>
    <row r="49" spans="2:7" x14ac:dyDescent="0.35">
      <c r="B49" s="5" t="s">
        <v>31</v>
      </c>
      <c r="C49" s="5">
        <v>1620</v>
      </c>
      <c r="D49" s="5">
        <v>7.92</v>
      </c>
      <c r="E49" s="8">
        <f t="shared" si="1"/>
        <v>128.304</v>
      </c>
      <c r="F49" s="5">
        <v>1874.13</v>
      </c>
      <c r="G49" s="8">
        <f t="shared" si="2"/>
        <v>240458.37552000003</v>
      </c>
    </row>
    <row r="50" spans="2:7" x14ac:dyDescent="0.35">
      <c r="B50" s="13" t="s">
        <v>41</v>
      </c>
      <c r="C50" s="12">
        <f>SUM(C38:C49)</f>
        <v>13780</v>
      </c>
      <c r="D50" s="12"/>
      <c r="E50" s="9">
        <f>SUM(E38:E49)</f>
        <v>1091.376</v>
      </c>
      <c r="F50" s="12"/>
      <c r="G50" s="9">
        <f>SUM(G38:G49)</f>
        <v>2045380.5028799998</v>
      </c>
    </row>
    <row r="51" spans="2:7" x14ac:dyDescent="0.35">
      <c r="B51" s="11"/>
    </row>
    <row r="52" spans="2:7" x14ac:dyDescent="0.35">
      <c r="B52" s="12" t="s">
        <v>42</v>
      </c>
      <c r="C52" s="12"/>
      <c r="E52" s="9">
        <f>E24+G50</f>
        <v>9599476.3390799984</v>
      </c>
    </row>
    <row r="53" spans="2:7" x14ac:dyDescent="0.35">
      <c r="B53" s="12"/>
      <c r="C53" s="12"/>
      <c r="E53" s="9"/>
    </row>
    <row r="54" spans="2:7" x14ac:dyDescent="0.35">
      <c r="B54" s="11" t="s">
        <v>33</v>
      </c>
    </row>
    <row r="55" spans="2:7" x14ac:dyDescent="0.35">
      <c r="B55" s="11"/>
    </row>
  </sheetData>
  <mergeCells count="3">
    <mergeCell ref="B6:E6"/>
    <mergeCell ref="B7:E7"/>
    <mergeCell ref="B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XFD1048576"/>
    </sheetView>
  </sheetViews>
  <sheetFormatPr defaultRowHeight="14.5" x14ac:dyDescent="0.35"/>
  <cols>
    <col min="1" max="1" width="47.36328125" customWidth="1"/>
    <col min="2" max="2" width="12.36328125" customWidth="1"/>
  </cols>
  <sheetData>
    <row r="1" spans="1:10" ht="18.5" x14ac:dyDescent="0.4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</row>
    <row r="2" spans="1:10" x14ac:dyDescent="0.35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</row>
    <row r="3" spans="1:10" x14ac:dyDescent="0.35">
      <c r="A3" s="3" t="s">
        <v>2</v>
      </c>
      <c r="B3" s="3"/>
      <c r="C3" s="3"/>
    </row>
    <row r="5" spans="1:10" x14ac:dyDescent="0.35">
      <c r="C5" t="s">
        <v>3</v>
      </c>
    </row>
    <row r="7" spans="1:10" x14ac:dyDescent="0.35">
      <c r="A7" s="5" t="s">
        <v>4</v>
      </c>
      <c r="B7" s="5">
        <v>85654</v>
      </c>
    </row>
    <row r="8" spans="1:10" x14ac:dyDescent="0.35">
      <c r="A8" s="5" t="s">
        <v>5</v>
      </c>
      <c r="B8" s="5"/>
    </row>
    <row r="9" spans="1:10" x14ac:dyDescent="0.35">
      <c r="A9" s="5" t="s">
        <v>6</v>
      </c>
      <c r="B9" s="5">
        <v>82182</v>
      </c>
    </row>
    <row r="10" spans="1:10" x14ac:dyDescent="0.35">
      <c r="A10" s="5" t="s">
        <v>7</v>
      </c>
      <c r="B10" s="5">
        <v>136</v>
      </c>
    </row>
    <row r="11" spans="1:10" x14ac:dyDescent="0.35">
      <c r="A11" s="5" t="s">
        <v>8</v>
      </c>
      <c r="B11" s="5">
        <f>B7-B9-B10</f>
        <v>3336</v>
      </c>
    </row>
    <row r="14" spans="1:10" x14ac:dyDescent="0.35">
      <c r="A14" t="s">
        <v>9</v>
      </c>
      <c r="B14">
        <f>163.5+16.3+52.2</f>
        <v>232</v>
      </c>
    </row>
    <row r="18" spans="1:1" x14ac:dyDescent="0.35">
      <c r="A18" t="s">
        <v>10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116" workbookViewId="0">
      <selection activeCell="A109" sqref="A109:D152"/>
    </sheetView>
  </sheetViews>
  <sheetFormatPr defaultColWidth="9.1796875" defaultRowHeight="13" x14ac:dyDescent="0.3"/>
  <cols>
    <col min="1" max="1" width="10.6328125" style="51" customWidth="1"/>
    <col min="2" max="2" width="45.26953125" style="51" customWidth="1"/>
    <col min="3" max="3" width="11.54296875" style="51" customWidth="1"/>
    <col min="4" max="4" width="16.54296875" style="51" customWidth="1"/>
    <col min="5" max="253" width="9.1796875" style="51"/>
    <col min="254" max="254" width="6.453125" style="51" customWidth="1"/>
    <col min="255" max="255" width="47.81640625" style="51" customWidth="1"/>
    <col min="256" max="256" width="12.7265625" style="51" customWidth="1"/>
    <col min="257" max="257" width="14.453125" style="51" customWidth="1"/>
    <col min="258" max="258" width="12.1796875" style="51" customWidth="1"/>
    <col min="259" max="260" width="11.81640625" style="51" customWidth="1"/>
    <col min="261" max="509" width="9.1796875" style="51"/>
    <col min="510" max="510" width="6.453125" style="51" customWidth="1"/>
    <col min="511" max="511" width="47.81640625" style="51" customWidth="1"/>
    <col min="512" max="512" width="12.7265625" style="51" customWidth="1"/>
    <col min="513" max="513" width="14.453125" style="51" customWidth="1"/>
    <col min="514" max="514" width="12.1796875" style="51" customWidth="1"/>
    <col min="515" max="516" width="11.81640625" style="51" customWidth="1"/>
    <col min="517" max="765" width="9.1796875" style="51"/>
    <col min="766" max="766" width="6.453125" style="51" customWidth="1"/>
    <col min="767" max="767" width="47.81640625" style="51" customWidth="1"/>
    <col min="768" max="768" width="12.7265625" style="51" customWidth="1"/>
    <col min="769" max="769" width="14.453125" style="51" customWidth="1"/>
    <col min="770" max="770" width="12.1796875" style="51" customWidth="1"/>
    <col min="771" max="772" width="11.81640625" style="51" customWidth="1"/>
    <col min="773" max="1021" width="9.1796875" style="51"/>
    <col min="1022" max="1022" width="6.453125" style="51" customWidth="1"/>
    <col min="1023" max="1023" width="47.81640625" style="51" customWidth="1"/>
    <col min="1024" max="1024" width="12.7265625" style="51" customWidth="1"/>
    <col min="1025" max="1025" width="14.453125" style="51" customWidth="1"/>
    <col min="1026" max="1026" width="12.1796875" style="51" customWidth="1"/>
    <col min="1027" max="1028" width="11.81640625" style="51" customWidth="1"/>
    <col min="1029" max="1277" width="9.1796875" style="51"/>
    <col min="1278" max="1278" width="6.453125" style="51" customWidth="1"/>
    <col min="1279" max="1279" width="47.81640625" style="51" customWidth="1"/>
    <col min="1280" max="1280" width="12.7265625" style="51" customWidth="1"/>
    <col min="1281" max="1281" width="14.453125" style="51" customWidth="1"/>
    <col min="1282" max="1282" width="12.1796875" style="51" customWidth="1"/>
    <col min="1283" max="1284" width="11.81640625" style="51" customWidth="1"/>
    <col min="1285" max="1533" width="9.1796875" style="51"/>
    <col min="1534" max="1534" width="6.453125" style="51" customWidth="1"/>
    <col min="1535" max="1535" width="47.81640625" style="51" customWidth="1"/>
    <col min="1536" max="1536" width="12.7265625" style="51" customWidth="1"/>
    <col min="1537" max="1537" width="14.453125" style="51" customWidth="1"/>
    <col min="1538" max="1538" width="12.1796875" style="51" customWidth="1"/>
    <col min="1539" max="1540" width="11.81640625" style="51" customWidth="1"/>
    <col min="1541" max="1789" width="9.1796875" style="51"/>
    <col min="1790" max="1790" width="6.453125" style="51" customWidth="1"/>
    <col min="1791" max="1791" width="47.81640625" style="51" customWidth="1"/>
    <col min="1792" max="1792" width="12.7265625" style="51" customWidth="1"/>
    <col min="1793" max="1793" width="14.453125" style="51" customWidth="1"/>
    <col min="1794" max="1794" width="12.1796875" style="51" customWidth="1"/>
    <col min="1795" max="1796" width="11.81640625" style="51" customWidth="1"/>
    <col min="1797" max="2045" width="9.1796875" style="51"/>
    <col min="2046" max="2046" width="6.453125" style="51" customWidth="1"/>
    <col min="2047" max="2047" width="47.81640625" style="51" customWidth="1"/>
    <col min="2048" max="2048" width="12.7265625" style="51" customWidth="1"/>
    <col min="2049" max="2049" width="14.453125" style="51" customWidth="1"/>
    <col min="2050" max="2050" width="12.1796875" style="51" customWidth="1"/>
    <col min="2051" max="2052" width="11.81640625" style="51" customWidth="1"/>
    <col min="2053" max="2301" width="9.1796875" style="51"/>
    <col min="2302" max="2302" width="6.453125" style="51" customWidth="1"/>
    <col min="2303" max="2303" width="47.81640625" style="51" customWidth="1"/>
    <col min="2304" max="2304" width="12.7265625" style="51" customWidth="1"/>
    <col min="2305" max="2305" width="14.453125" style="51" customWidth="1"/>
    <col min="2306" max="2306" width="12.1796875" style="51" customWidth="1"/>
    <col min="2307" max="2308" width="11.81640625" style="51" customWidth="1"/>
    <col min="2309" max="2557" width="9.1796875" style="51"/>
    <col min="2558" max="2558" width="6.453125" style="51" customWidth="1"/>
    <col min="2559" max="2559" width="47.81640625" style="51" customWidth="1"/>
    <col min="2560" max="2560" width="12.7265625" style="51" customWidth="1"/>
    <col min="2561" max="2561" width="14.453125" style="51" customWidth="1"/>
    <col min="2562" max="2562" width="12.1796875" style="51" customWidth="1"/>
    <col min="2563" max="2564" width="11.81640625" style="51" customWidth="1"/>
    <col min="2565" max="2813" width="9.1796875" style="51"/>
    <col min="2814" max="2814" width="6.453125" style="51" customWidth="1"/>
    <col min="2815" max="2815" width="47.81640625" style="51" customWidth="1"/>
    <col min="2816" max="2816" width="12.7265625" style="51" customWidth="1"/>
    <col min="2817" max="2817" width="14.453125" style="51" customWidth="1"/>
    <col min="2818" max="2818" width="12.1796875" style="51" customWidth="1"/>
    <col min="2819" max="2820" width="11.81640625" style="51" customWidth="1"/>
    <col min="2821" max="3069" width="9.1796875" style="51"/>
    <col min="3070" max="3070" width="6.453125" style="51" customWidth="1"/>
    <col min="3071" max="3071" width="47.81640625" style="51" customWidth="1"/>
    <col min="3072" max="3072" width="12.7265625" style="51" customWidth="1"/>
    <col min="3073" max="3073" width="14.453125" style="51" customWidth="1"/>
    <col min="3074" max="3074" width="12.1796875" style="51" customWidth="1"/>
    <col min="3075" max="3076" width="11.81640625" style="51" customWidth="1"/>
    <col min="3077" max="3325" width="9.1796875" style="51"/>
    <col min="3326" max="3326" width="6.453125" style="51" customWidth="1"/>
    <col min="3327" max="3327" width="47.81640625" style="51" customWidth="1"/>
    <col min="3328" max="3328" width="12.7265625" style="51" customWidth="1"/>
    <col min="3329" max="3329" width="14.453125" style="51" customWidth="1"/>
    <col min="3330" max="3330" width="12.1796875" style="51" customWidth="1"/>
    <col min="3331" max="3332" width="11.81640625" style="51" customWidth="1"/>
    <col min="3333" max="3581" width="9.1796875" style="51"/>
    <col min="3582" max="3582" width="6.453125" style="51" customWidth="1"/>
    <col min="3583" max="3583" width="47.81640625" style="51" customWidth="1"/>
    <col min="3584" max="3584" width="12.7265625" style="51" customWidth="1"/>
    <col min="3585" max="3585" width="14.453125" style="51" customWidth="1"/>
    <col min="3586" max="3586" width="12.1796875" style="51" customWidth="1"/>
    <col min="3587" max="3588" width="11.81640625" style="51" customWidth="1"/>
    <col min="3589" max="3837" width="9.1796875" style="51"/>
    <col min="3838" max="3838" width="6.453125" style="51" customWidth="1"/>
    <col min="3839" max="3839" width="47.81640625" style="51" customWidth="1"/>
    <col min="3840" max="3840" width="12.7265625" style="51" customWidth="1"/>
    <col min="3841" max="3841" width="14.453125" style="51" customWidth="1"/>
    <col min="3842" max="3842" width="12.1796875" style="51" customWidth="1"/>
    <col min="3843" max="3844" width="11.81640625" style="51" customWidth="1"/>
    <col min="3845" max="4093" width="9.1796875" style="51"/>
    <col min="4094" max="4094" width="6.453125" style="51" customWidth="1"/>
    <col min="4095" max="4095" width="47.81640625" style="51" customWidth="1"/>
    <col min="4096" max="4096" width="12.7265625" style="51" customWidth="1"/>
    <col min="4097" max="4097" width="14.453125" style="51" customWidth="1"/>
    <col min="4098" max="4098" width="12.1796875" style="51" customWidth="1"/>
    <col min="4099" max="4100" width="11.81640625" style="51" customWidth="1"/>
    <col min="4101" max="4349" width="9.1796875" style="51"/>
    <col min="4350" max="4350" width="6.453125" style="51" customWidth="1"/>
    <col min="4351" max="4351" width="47.81640625" style="51" customWidth="1"/>
    <col min="4352" max="4352" width="12.7265625" style="51" customWidth="1"/>
    <col min="4353" max="4353" width="14.453125" style="51" customWidth="1"/>
    <col min="4354" max="4354" width="12.1796875" style="51" customWidth="1"/>
    <col min="4355" max="4356" width="11.81640625" style="51" customWidth="1"/>
    <col min="4357" max="4605" width="9.1796875" style="51"/>
    <col min="4606" max="4606" width="6.453125" style="51" customWidth="1"/>
    <col min="4607" max="4607" width="47.81640625" style="51" customWidth="1"/>
    <col min="4608" max="4608" width="12.7265625" style="51" customWidth="1"/>
    <col min="4609" max="4609" width="14.453125" style="51" customWidth="1"/>
    <col min="4610" max="4610" width="12.1796875" style="51" customWidth="1"/>
    <col min="4611" max="4612" width="11.81640625" style="51" customWidth="1"/>
    <col min="4613" max="4861" width="9.1796875" style="51"/>
    <col min="4862" max="4862" width="6.453125" style="51" customWidth="1"/>
    <col min="4863" max="4863" width="47.81640625" style="51" customWidth="1"/>
    <col min="4864" max="4864" width="12.7265625" style="51" customWidth="1"/>
    <col min="4865" max="4865" width="14.453125" style="51" customWidth="1"/>
    <col min="4866" max="4866" width="12.1796875" style="51" customWidth="1"/>
    <col min="4867" max="4868" width="11.81640625" style="51" customWidth="1"/>
    <col min="4869" max="5117" width="9.1796875" style="51"/>
    <col min="5118" max="5118" width="6.453125" style="51" customWidth="1"/>
    <col min="5119" max="5119" width="47.81640625" style="51" customWidth="1"/>
    <col min="5120" max="5120" width="12.7265625" style="51" customWidth="1"/>
    <col min="5121" max="5121" width="14.453125" style="51" customWidth="1"/>
    <col min="5122" max="5122" width="12.1796875" style="51" customWidth="1"/>
    <col min="5123" max="5124" width="11.81640625" style="51" customWidth="1"/>
    <col min="5125" max="5373" width="9.1796875" style="51"/>
    <col min="5374" max="5374" width="6.453125" style="51" customWidth="1"/>
    <col min="5375" max="5375" width="47.81640625" style="51" customWidth="1"/>
    <col min="5376" max="5376" width="12.7265625" style="51" customWidth="1"/>
    <col min="5377" max="5377" width="14.453125" style="51" customWidth="1"/>
    <col min="5378" max="5378" width="12.1796875" style="51" customWidth="1"/>
    <col min="5379" max="5380" width="11.81640625" style="51" customWidth="1"/>
    <col min="5381" max="5629" width="9.1796875" style="51"/>
    <col min="5630" max="5630" width="6.453125" style="51" customWidth="1"/>
    <col min="5631" max="5631" width="47.81640625" style="51" customWidth="1"/>
    <col min="5632" max="5632" width="12.7265625" style="51" customWidth="1"/>
    <col min="5633" max="5633" width="14.453125" style="51" customWidth="1"/>
    <col min="5634" max="5634" width="12.1796875" style="51" customWidth="1"/>
    <col min="5635" max="5636" width="11.81640625" style="51" customWidth="1"/>
    <col min="5637" max="5885" width="9.1796875" style="51"/>
    <col min="5886" max="5886" width="6.453125" style="51" customWidth="1"/>
    <col min="5887" max="5887" width="47.81640625" style="51" customWidth="1"/>
    <col min="5888" max="5888" width="12.7265625" style="51" customWidth="1"/>
    <col min="5889" max="5889" width="14.453125" style="51" customWidth="1"/>
    <col min="5890" max="5890" width="12.1796875" style="51" customWidth="1"/>
    <col min="5891" max="5892" width="11.81640625" style="51" customWidth="1"/>
    <col min="5893" max="6141" width="9.1796875" style="51"/>
    <col min="6142" max="6142" width="6.453125" style="51" customWidth="1"/>
    <col min="6143" max="6143" width="47.81640625" style="51" customWidth="1"/>
    <col min="6144" max="6144" width="12.7265625" style="51" customWidth="1"/>
    <col min="6145" max="6145" width="14.453125" style="51" customWidth="1"/>
    <col min="6146" max="6146" width="12.1796875" style="51" customWidth="1"/>
    <col min="6147" max="6148" width="11.81640625" style="51" customWidth="1"/>
    <col min="6149" max="6397" width="9.1796875" style="51"/>
    <col min="6398" max="6398" width="6.453125" style="51" customWidth="1"/>
    <col min="6399" max="6399" width="47.81640625" style="51" customWidth="1"/>
    <col min="6400" max="6400" width="12.7265625" style="51" customWidth="1"/>
    <col min="6401" max="6401" width="14.453125" style="51" customWidth="1"/>
    <col min="6402" max="6402" width="12.1796875" style="51" customWidth="1"/>
    <col min="6403" max="6404" width="11.81640625" style="51" customWidth="1"/>
    <col min="6405" max="6653" width="9.1796875" style="51"/>
    <col min="6654" max="6654" width="6.453125" style="51" customWidth="1"/>
    <col min="6655" max="6655" width="47.81640625" style="51" customWidth="1"/>
    <col min="6656" max="6656" width="12.7265625" style="51" customWidth="1"/>
    <col min="6657" max="6657" width="14.453125" style="51" customWidth="1"/>
    <col min="6658" max="6658" width="12.1796875" style="51" customWidth="1"/>
    <col min="6659" max="6660" width="11.81640625" style="51" customWidth="1"/>
    <col min="6661" max="6909" width="9.1796875" style="51"/>
    <col min="6910" max="6910" width="6.453125" style="51" customWidth="1"/>
    <col min="6911" max="6911" width="47.81640625" style="51" customWidth="1"/>
    <col min="6912" max="6912" width="12.7265625" style="51" customWidth="1"/>
    <col min="6913" max="6913" width="14.453125" style="51" customWidth="1"/>
    <col min="6914" max="6914" width="12.1796875" style="51" customWidth="1"/>
    <col min="6915" max="6916" width="11.81640625" style="51" customWidth="1"/>
    <col min="6917" max="7165" width="9.1796875" style="51"/>
    <col min="7166" max="7166" width="6.453125" style="51" customWidth="1"/>
    <col min="7167" max="7167" width="47.81640625" style="51" customWidth="1"/>
    <col min="7168" max="7168" width="12.7265625" style="51" customWidth="1"/>
    <col min="7169" max="7169" width="14.453125" style="51" customWidth="1"/>
    <col min="7170" max="7170" width="12.1796875" style="51" customWidth="1"/>
    <col min="7171" max="7172" width="11.81640625" style="51" customWidth="1"/>
    <col min="7173" max="7421" width="9.1796875" style="51"/>
    <col min="7422" max="7422" width="6.453125" style="51" customWidth="1"/>
    <col min="7423" max="7423" width="47.81640625" style="51" customWidth="1"/>
    <col min="7424" max="7424" width="12.7265625" style="51" customWidth="1"/>
    <col min="7425" max="7425" width="14.453125" style="51" customWidth="1"/>
    <col min="7426" max="7426" width="12.1796875" style="51" customWidth="1"/>
    <col min="7427" max="7428" width="11.81640625" style="51" customWidth="1"/>
    <col min="7429" max="7677" width="9.1796875" style="51"/>
    <col min="7678" max="7678" width="6.453125" style="51" customWidth="1"/>
    <col min="7679" max="7679" width="47.81640625" style="51" customWidth="1"/>
    <col min="7680" max="7680" width="12.7265625" style="51" customWidth="1"/>
    <col min="7681" max="7681" width="14.453125" style="51" customWidth="1"/>
    <col min="7682" max="7682" width="12.1796875" style="51" customWidth="1"/>
    <col min="7683" max="7684" width="11.81640625" style="51" customWidth="1"/>
    <col min="7685" max="7933" width="9.1796875" style="51"/>
    <col min="7934" max="7934" width="6.453125" style="51" customWidth="1"/>
    <col min="7935" max="7935" width="47.81640625" style="51" customWidth="1"/>
    <col min="7936" max="7936" width="12.7265625" style="51" customWidth="1"/>
    <col min="7937" max="7937" width="14.453125" style="51" customWidth="1"/>
    <col min="7938" max="7938" width="12.1796875" style="51" customWidth="1"/>
    <col min="7939" max="7940" width="11.81640625" style="51" customWidth="1"/>
    <col min="7941" max="8189" width="9.1796875" style="51"/>
    <col min="8190" max="8190" width="6.453125" style="51" customWidth="1"/>
    <col min="8191" max="8191" width="47.81640625" style="51" customWidth="1"/>
    <col min="8192" max="8192" width="12.7265625" style="51" customWidth="1"/>
    <col min="8193" max="8193" width="14.453125" style="51" customWidth="1"/>
    <col min="8194" max="8194" width="12.1796875" style="51" customWidth="1"/>
    <col min="8195" max="8196" width="11.81640625" style="51" customWidth="1"/>
    <col min="8197" max="8445" width="9.1796875" style="51"/>
    <col min="8446" max="8446" width="6.453125" style="51" customWidth="1"/>
    <col min="8447" max="8447" width="47.81640625" style="51" customWidth="1"/>
    <col min="8448" max="8448" width="12.7265625" style="51" customWidth="1"/>
    <col min="8449" max="8449" width="14.453125" style="51" customWidth="1"/>
    <col min="8450" max="8450" width="12.1796875" style="51" customWidth="1"/>
    <col min="8451" max="8452" width="11.81640625" style="51" customWidth="1"/>
    <col min="8453" max="8701" width="9.1796875" style="51"/>
    <col min="8702" max="8702" width="6.453125" style="51" customWidth="1"/>
    <col min="8703" max="8703" width="47.81640625" style="51" customWidth="1"/>
    <col min="8704" max="8704" width="12.7265625" style="51" customWidth="1"/>
    <col min="8705" max="8705" width="14.453125" style="51" customWidth="1"/>
    <col min="8706" max="8706" width="12.1796875" style="51" customWidth="1"/>
    <col min="8707" max="8708" width="11.81640625" style="51" customWidth="1"/>
    <col min="8709" max="8957" width="9.1796875" style="51"/>
    <col min="8958" max="8958" width="6.453125" style="51" customWidth="1"/>
    <col min="8959" max="8959" width="47.81640625" style="51" customWidth="1"/>
    <col min="8960" max="8960" width="12.7265625" style="51" customWidth="1"/>
    <col min="8961" max="8961" width="14.453125" style="51" customWidth="1"/>
    <col min="8962" max="8962" width="12.1796875" style="51" customWidth="1"/>
    <col min="8963" max="8964" width="11.81640625" style="51" customWidth="1"/>
    <col min="8965" max="9213" width="9.1796875" style="51"/>
    <col min="9214" max="9214" width="6.453125" style="51" customWidth="1"/>
    <col min="9215" max="9215" width="47.81640625" style="51" customWidth="1"/>
    <col min="9216" max="9216" width="12.7265625" style="51" customWidth="1"/>
    <col min="9217" max="9217" width="14.453125" style="51" customWidth="1"/>
    <col min="9218" max="9218" width="12.1796875" style="51" customWidth="1"/>
    <col min="9219" max="9220" width="11.81640625" style="51" customWidth="1"/>
    <col min="9221" max="9469" width="9.1796875" style="51"/>
    <col min="9470" max="9470" width="6.453125" style="51" customWidth="1"/>
    <col min="9471" max="9471" width="47.81640625" style="51" customWidth="1"/>
    <col min="9472" max="9472" width="12.7265625" style="51" customWidth="1"/>
    <col min="9473" max="9473" width="14.453125" style="51" customWidth="1"/>
    <col min="9474" max="9474" width="12.1796875" style="51" customWidth="1"/>
    <col min="9475" max="9476" width="11.81640625" style="51" customWidth="1"/>
    <col min="9477" max="9725" width="9.1796875" style="51"/>
    <col min="9726" max="9726" width="6.453125" style="51" customWidth="1"/>
    <col min="9727" max="9727" width="47.81640625" style="51" customWidth="1"/>
    <col min="9728" max="9728" width="12.7265625" style="51" customWidth="1"/>
    <col min="9729" max="9729" width="14.453125" style="51" customWidth="1"/>
    <col min="9730" max="9730" width="12.1796875" style="51" customWidth="1"/>
    <col min="9731" max="9732" width="11.81640625" style="51" customWidth="1"/>
    <col min="9733" max="9981" width="9.1796875" style="51"/>
    <col min="9982" max="9982" width="6.453125" style="51" customWidth="1"/>
    <col min="9983" max="9983" width="47.81640625" style="51" customWidth="1"/>
    <col min="9984" max="9984" width="12.7265625" style="51" customWidth="1"/>
    <col min="9985" max="9985" width="14.453125" style="51" customWidth="1"/>
    <col min="9986" max="9986" width="12.1796875" style="51" customWidth="1"/>
    <col min="9987" max="9988" width="11.81640625" style="51" customWidth="1"/>
    <col min="9989" max="10237" width="9.1796875" style="51"/>
    <col min="10238" max="10238" width="6.453125" style="51" customWidth="1"/>
    <col min="10239" max="10239" width="47.81640625" style="51" customWidth="1"/>
    <col min="10240" max="10240" width="12.7265625" style="51" customWidth="1"/>
    <col min="10241" max="10241" width="14.453125" style="51" customWidth="1"/>
    <col min="10242" max="10242" width="12.1796875" style="51" customWidth="1"/>
    <col min="10243" max="10244" width="11.81640625" style="51" customWidth="1"/>
    <col min="10245" max="10493" width="9.1796875" style="51"/>
    <col min="10494" max="10494" width="6.453125" style="51" customWidth="1"/>
    <col min="10495" max="10495" width="47.81640625" style="51" customWidth="1"/>
    <col min="10496" max="10496" width="12.7265625" style="51" customWidth="1"/>
    <col min="10497" max="10497" width="14.453125" style="51" customWidth="1"/>
    <col min="10498" max="10498" width="12.1796875" style="51" customWidth="1"/>
    <col min="10499" max="10500" width="11.81640625" style="51" customWidth="1"/>
    <col min="10501" max="10749" width="9.1796875" style="51"/>
    <col min="10750" max="10750" width="6.453125" style="51" customWidth="1"/>
    <col min="10751" max="10751" width="47.81640625" style="51" customWidth="1"/>
    <col min="10752" max="10752" width="12.7265625" style="51" customWidth="1"/>
    <col min="10753" max="10753" width="14.453125" style="51" customWidth="1"/>
    <col min="10754" max="10754" width="12.1796875" style="51" customWidth="1"/>
    <col min="10755" max="10756" width="11.81640625" style="51" customWidth="1"/>
    <col min="10757" max="11005" width="9.1796875" style="51"/>
    <col min="11006" max="11006" width="6.453125" style="51" customWidth="1"/>
    <col min="11007" max="11007" width="47.81640625" style="51" customWidth="1"/>
    <col min="11008" max="11008" width="12.7265625" style="51" customWidth="1"/>
    <col min="11009" max="11009" width="14.453125" style="51" customWidth="1"/>
    <col min="11010" max="11010" width="12.1796875" style="51" customWidth="1"/>
    <col min="11011" max="11012" width="11.81640625" style="51" customWidth="1"/>
    <col min="11013" max="11261" width="9.1796875" style="51"/>
    <col min="11262" max="11262" width="6.453125" style="51" customWidth="1"/>
    <col min="11263" max="11263" width="47.81640625" style="51" customWidth="1"/>
    <col min="11264" max="11264" width="12.7265625" style="51" customWidth="1"/>
    <col min="11265" max="11265" width="14.453125" style="51" customWidth="1"/>
    <col min="11266" max="11266" width="12.1796875" style="51" customWidth="1"/>
    <col min="11267" max="11268" width="11.81640625" style="51" customWidth="1"/>
    <col min="11269" max="11517" width="9.1796875" style="51"/>
    <col min="11518" max="11518" width="6.453125" style="51" customWidth="1"/>
    <col min="11519" max="11519" width="47.81640625" style="51" customWidth="1"/>
    <col min="11520" max="11520" width="12.7265625" style="51" customWidth="1"/>
    <col min="11521" max="11521" width="14.453125" style="51" customWidth="1"/>
    <col min="11522" max="11522" width="12.1796875" style="51" customWidth="1"/>
    <col min="11523" max="11524" width="11.81640625" style="51" customWidth="1"/>
    <col min="11525" max="11773" width="9.1796875" style="51"/>
    <col min="11774" max="11774" width="6.453125" style="51" customWidth="1"/>
    <col min="11775" max="11775" width="47.81640625" style="51" customWidth="1"/>
    <col min="11776" max="11776" width="12.7265625" style="51" customWidth="1"/>
    <col min="11777" max="11777" width="14.453125" style="51" customWidth="1"/>
    <col min="11778" max="11778" width="12.1796875" style="51" customWidth="1"/>
    <col min="11779" max="11780" width="11.81640625" style="51" customWidth="1"/>
    <col min="11781" max="12029" width="9.1796875" style="51"/>
    <col min="12030" max="12030" width="6.453125" style="51" customWidth="1"/>
    <col min="12031" max="12031" width="47.81640625" style="51" customWidth="1"/>
    <col min="12032" max="12032" width="12.7265625" style="51" customWidth="1"/>
    <col min="12033" max="12033" width="14.453125" style="51" customWidth="1"/>
    <col min="12034" max="12034" width="12.1796875" style="51" customWidth="1"/>
    <col min="12035" max="12036" width="11.81640625" style="51" customWidth="1"/>
    <col min="12037" max="12285" width="9.1796875" style="51"/>
    <col min="12286" max="12286" width="6.453125" style="51" customWidth="1"/>
    <col min="12287" max="12287" width="47.81640625" style="51" customWidth="1"/>
    <col min="12288" max="12288" width="12.7265625" style="51" customWidth="1"/>
    <col min="12289" max="12289" width="14.453125" style="51" customWidth="1"/>
    <col min="12290" max="12290" width="12.1796875" style="51" customWidth="1"/>
    <col min="12291" max="12292" width="11.81640625" style="51" customWidth="1"/>
    <col min="12293" max="12541" width="9.1796875" style="51"/>
    <col min="12542" max="12542" width="6.453125" style="51" customWidth="1"/>
    <col min="12543" max="12543" width="47.81640625" style="51" customWidth="1"/>
    <col min="12544" max="12544" width="12.7265625" style="51" customWidth="1"/>
    <col min="12545" max="12545" width="14.453125" style="51" customWidth="1"/>
    <col min="12546" max="12546" width="12.1796875" style="51" customWidth="1"/>
    <col min="12547" max="12548" width="11.81640625" style="51" customWidth="1"/>
    <col min="12549" max="12797" width="9.1796875" style="51"/>
    <col min="12798" max="12798" width="6.453125" style="51" customWidth="1"/>
    <col min="12799" max="12799" width="47.81640625" style="51" customWidth="1"/>
    <col min="12800" max="12800" width="12.7265625" style="51" customWidth="1"/>
    <col min="12801" max="12801" width="14.453125" style="51" customWidth="1"/>
    <col min="12802" max="12802" width="12.1796875" style="51" customWidth="1"/>
    <col min="12803" max="12804" width="11.81640625" style="51" customWidth="1"/>
    <col min="12805" max="13053" width="9.1796875" style="51"/>
    <col min="13054" max="13054" width="6.453125" style="51" customWidth="1"/>
    <col min="13055" max="13055" width="47.81640625" style="51" customWidth="1"/>
    <col min="13056" max="13056" width="12.7265625" style="51" customWidth="1"/>
    <col min="13057" max="13057" width="14.453125" style="51" customWidth="1"/>
    <col min="13058" max="13058" width="12.1796875" style="51" customWidth="1"/>
    <col min="13059" max="13060" width="11.81640625" style="51" customWidth="1"/>
    <col min="13061" max="13309" width="9.1796875" style="51"/>
    <col min="13310" max="13310" width="6.453125" style="51" customWidth="1"/>
    <col min="13311" max="13311" width="47.81640625" style="51" customWidth="1"/>
    <col min="13312" max="13312" width="12.7265625" style="51" customWidth="1"/>
    <col min="13313" max="13313" width="14.453125" style="51" customWidth="1"/>
    <col min="13314" max="13314" width="12.1796875" style="51" customWidth="1"/>
    <col min="13315" max="13316" width="11.81640625" style="51" customWidth="1"/>
    <col min="13317" max="13565" width="9.1796875" style="51"/>
    <col min="13566" max="13566" width="6.453125" style="51" customWidth="1"/>
    <col min="13567" max="13567" width="47.81640625" style="51" customWidth="1"/>
    <col min="13568" max="13568" width="12.7265625" style="51" customWidth="1"/>
    <col min="13569" max="13569" width="14.453125" style="51" customWidth="1"/>
    <col min="13570" max="13570" width="12.1796875" style="51" customWidth="1"/>
    <col min="13571" max="13572" width="11.81640625" style="51" customWidth="1"/>
    <col min="13573" max="13821" width="9.1796875" style="51"/>
    <col min="13822" max="13822" width="6.453125" style="51" customWidth="1"/>
    <col min="13823" max="13823" width="47.81640625" style="51" customWidth="1"/>
    <col min="13824" max="13824" width="12.7265625" style="51" customWidth="1"/>
    <col min="13825" max="13825" width="14.453125" style="51" customWidth="1"/>
    <col min="13826" max="13826" width="12.1796875" style="51" customWidth="1"/>
    <col min="13827" max="13828" width="11.81640625" style="51" customWidth="1"/>
    <col min="13829" max="14077" width="9.1796875" style="51"/>
    <col min="14078" max="14078" width="6.453125" style="51" customWidth="1"/>
    <col min="14079" max="14079" width="47.81640625" style="51" customWidth="1"/>
    <col min="14080" max="14080" width="12.7265625" style="51" customWidth="1"/>
    <col min="14081" max="14081" width="14.453125" style="51" customWidth="1"/>
    <col min="14082" max="14082" width="12.1796875" style="51" customWidth="1"/>
    <col min="14083" max="14084" width="11.81640625" style="51" customWidth="1"/>
    <col min="14085" max="14333" width="9.1796875" style="51"/>
    <col min="14334" max="14334" width="6.453125" style="51" customWidth="1"/>
    <col min="14335" max="14335" width="47.81640625" style="51" customWidth="1"/>
    <col min="14336" max="14336" width="12.7265625" style="51" customWidth="1"/>
    <col min="14337" max="14337" width="14.453125" style="51" customWidth="1"/>
    <col min="14338" max="14338" width="12.1796875" style="51" customWidth="1"/>
    <col min="14339" max="14340" width="11.81640625" style="51" customWidth="1"/>
    <col min="14341" max="14589" width="9.1796875" style="51"/>
    <col min="14590" max="14590" width="6.453125" style="51" customWidth="1"/>
    <col min="14591" max="14591" width="47.81640625" style="51" customWidth="1"/>
    <col min="14592" max="14592" width="12.7265625" style="51" customWidth="1"/>
    <col min="14593" max="14593" width="14.453125" style="51" customWidth="1"/>
    <col min="14594" max="14594" width="12.1796875" style="51" customWidth="1"/>
    <col min="14595" max="14596" width="11.81640625" style="51" customWidth="1"/>
    <col min="14597" max="14845" width="9.1796875" style="51"/>
    <col min="14846" max="14846" width="6.453125" style="51" customWidth="1"/>
    <col min="14847" max="14847" width="47.81640625" style="51" customWidth="1"/>
    <col min="14848" max="14848" width="12.7265625" style="51" customWidth="1"/>
    <col min="14849" max="14849" width="14.453125" style="51" customWidth="1"/>
    <col min="14850" max="14850" width="12.1796875" style="51" customWidth="1"/>
    <col min="14851" max="14852" width="11.81640625" style="51" customWidth="1"/>
    <col min="14853" max="15101" width="9.1796875" style="51"/>
    <col min="15102" max="15102" width="6.453125" style="51" customWidth="1"/>
    <col min="15103" max="15103" width="47.81640625" style="51" customWidth="1"/>
    <col min="15104" max="15104" width="12.7265625" style="51" customWidth="1"/>
    <col min="15105" max="15105" width="14.453125" style="51" customWidth="1"/>
    <col min="15106" max="15106" width="12.1796875" style="51" customWidth="1"/>
    <col min="15107" max="15108" width="11.81640625" style="51" customWidth="1"/>
    <col min="15109" max="15357" width="9.1796875" style="51"/>
    <col min="15358" max="15358" width="6.453125" style="51" customWidth="1"/>
    <col min="15359" max="15359" width="47.81640625" style="51" customWidth="1"/>
    <col min="15360" max="15360" width="12.7265625" style="51" customWidth="1"/>
    <col min="15361" max="15361" width="14.453125" style="51" customWidth="1"/>
    <col min="15362" max="15362" width="12.1796875" style="51" customWidth="1"/>
    <col min="15363" max="15364" width="11.81640625" style="51" customWidth="1"/>
    <col min="15365" max="15613" width="9.1796875" style="51"/>
    <col min="15614" max="15614" width="6.453125" style="51" customWidth="1"/>
    <col min="15615" max="15615" width="47.81640625" style="51" customWidth="1"/>
    <col min="15616" max="15616" width="12.7265625" style="51" customWidth="1"/>
    <col min="15617" max="15617" width="14.453125" style="51" customWidth="1"/>
    <col min="15618" max="15618" width="12.1796875" style="51" customWidth="1"/>
    <col min="15619" max="15620" width="11.81640625" style="51" customWidth="1"/>
    <col min="15621" max="15869" width="9.1796875" style="51"/>
    <col min="15870" max="15870" width="6.453125" style="51" customWidth="1"/>
    <col min="15871" max="15871" width="47.81640625" style="51" customWidth="1"/>
    <col min="15872" max="15872" width="12.7265625" style="51" customWidth="1"/>
    <col min="15873" max="15873" width="14.453125" style="51" customWidth="1"/>
    <col min="15874" max="15874" width="12.1796875" style="51" customWidth="1"/>
    <col min="15875" max="15876" width="11.81640625" style="51" customWidth="1"/>
    <col min="15877" max="16125" width="9.1796875" style="51"/>
    <col min="16126" max="16126" width="6.453125" style="51" customWidth="1"/>
    <col min="16127" max="16127" width="47.81640625" style="51" customWidth="1"/>
    <col min="16128" max="16128" width="12.7265625" style="51" customWidth="1"/>
    <col min="16129" max="16129" width="14.453125" style="51" customWidth="1"/>
    <col min="16130" max="16130" width="12.1796875" style="51" customWidth="1"/>
    <col min="16131" max="16132" width="11.81640625" style="51" customWidth="1"/>
    <col min="16133" max="16384" width="9.1796875" style="51"/>
  </cols>
  <sheetData>
    <row r="1" spans="1:6" ht="33" customHeight="1" x14ac:dyDescent="0.3">
      <c r="A1" s="49" t="s">
        <v>100</v>
      </c>
      <c r="B1" s="49"/>
      <c r="C1" s="49"/>
      <c r="D1" s="50"/>
    </row>
    <row r="2" spans="1:6" ht="26" x14ac:dyDescent="0.3">
      <c r="A2" s="52" t="s">
        <v>101</v>
      </c>
      <c r="B2" s="52" t="s">
        <v>71</v>
      </c>
      <c r="C2" s="53" t="s">
        <v>102</v>
      </c>
      <c r="D2" s="54" t="s">
        <v>103</v>
      </c>
      <c r="E2" s="55"/>
      <c r="F2" s="55"/>
    </row>
    <row r="3" spans="1:6" ht="26" x14ac:dyDescent="0.3">
      <c r="A3" s="56"/>
      <c r="B3" s="56"/>
      <c r="C3" s="57" t="s">
        <v>104</v>
      </c>
      <c r="D3" s="57" t="s">
        <v>105</v>
      </c>
      <c r="E3" s="55"/>
      <c r="F3" s="55"/>
    </row>
    <row r="4" spans="1:6" x14ac:dyDescent="0.3">
      <c r="A4" s="58">
        <v>1</v>
      </c>
      <c r="B4" s="58">
        <v>2</v>
      </c>
      <c r="C4" s="59"/>
      <c r="D4" s="59"/>
    </row>
    <row r="5" spans="1:6" x14ac:dyDescent="0.3">
      <c r="A5" s="60" t="s">
        <v>106</v>
      </c>
      <c r="B5" s="61" t="s">
        <v>107</v>
      </c>
      <c r="C5" s="62">
        <v>2057.2544166563102</v>
      </c>
      <c r="D5" s="62">
        <v>4291.17</v>
      </c>
      <c r="E5" s="63"/>
    </row>
    <row r="6" spans="1:6" x14ac:dyDescent="0.3">
      <c r="A6" s="60" t="s">
        <v>108</v>
      </c>
      <c r="B6" s="61" t="s">
        <v>109</v>
      </c>
      <c r="C6" s="62">
        <v>2154.3756624446692</v>
      </c>
      <c r="D6" s="62">
        <v>2271.4499999999998</v>
      </c>
      <c r="E6" s="64"/>
    </row>
    <row r="7" spans="1:6" x14ac:dyDescent="0.3">
      <c r="A7" s="60"/>
      <c r="B7" s="61" t="s">
        <v>110</v>
      </c>
      <c r="C7" s="62"/>
      <c r="D7" s="59"/>
    </row>
    <row r="8" spans="1:6" ht="26" x14ac:dyDescent="0.3">
      <c r="A8" s="60" t="s">
        <v>111</v>
      </c>
      <c r="B8" s="61" t="s">
        <v>112</v>
      </c>
      <c r="C8" s="62"/>
      <c r="D8" s="59">
        <v>317.75</v>
      </c>
    </row>
    <row r="9" spans="1:6" x14ac:dyDescent="0.3">
      <c r="A9" s="60"/>
      <c r="B9" s="61" t="s">
        <v>110</v>
      </c>
      <c r="C9" s="62"/>
      <c r="D9" s="59">
        <v>223.53</v>
      </c>
    </row>
    <row r="10" spans="1:6" x14ac:dyDescent="0.3">
      <c r="A10" s="60" t="s">
        <v>113</v>
      </c>
      <c r="B10" s="61" t="s">
        <v>114</v>
      </c>
      <c r="C10" s="65"/>
      <c r="D10" s="65"/>
    </row>
    <row r="11" spans="1:6" x14ac:dyDescent="0.3">
      <c r="A11" s="60" t="s">
        <v>115</v>
      </c>
      <c r="B11" s="61" t="s">
        <v>116</v>
      </c>
      <c r="C11" s="62">
        <v>136.4335844</v>
      </c>
      <c r="D11" s="62">
        <f>D12+D13</f>
        <v>180.35</v>
      </c>
    </row>
    <row r="12" spans="1:6" x14ac:dyDescent="0.3">
      <c r="A12" s="60" t="s">
        <v>117</v>
      </c>
      <c r="B12" s="61" t="s">
        <v>118</v>
      </c>
      <c r="C12" s="62">
        <v>0</v>
      </c>
      <c r="D12" s="62"/>
    </row>
    <row r="13" spans="1:6" x14ac:dyDescent="0.3">
      <c r="A13" s="60" t="s">
        <v>119</v>
      </c>
      <c r="B13" s="61" t="s">
        <v>120</v>
      </c>
      <c r="C13" s="62">
        <v>136.4335844</v>
      </c>
      <c r="D13" s="62">
        <v>180.35</v>
      </c>
    </row>
    <row r="14" spans="1:6" x14ac:dyDescent="0.3">
      <c r="A14" s="60" t="s">
        <v>121</v>
      </c>
      <c r="B14" s="61" t="s">
        <v>122</v>
      </c>
      <c r="C14" s="62">
        <v>28088.303478418446</v>
      </c>
      <c r="D14" s="65">
        <v>27819.3</v>
      </c>
      <c r="E14" s="64"/>
    </row>
    <row r="15" spans="1:6" x14ac:dyDescent="0.3">
      <c r="A15" s="60"/>
      <c r="B15" s="61" t="s">
        <v>110</v>
      </c>
      <c r="C15" s="62"/>
      <c r="D15" s="59"/>
    </row>
    <row r="16" spans="1:6" x14ac:dyDescent="0.3">
      <c r="A16" s="60" t="s">
        <v>123</v>
      </c>
      <c r="B16" s="66" t="s">
        <v>124</v>
      </c>
      <c r="C16" s="62">
        <v>8538.8442574392066</v>
      </c>
      <c r="D16" s="62">
        <v>7970.2</v>
      </c>
      <c r="E16" s="63"/>
    </row>
    <row r="17" spans="1:5" x14ac:dyDescent="0.3">
      <c r="A17" s="60"/>
      <c r="B17" s="61" t="s">
        <v>110</v>
      </c>
      <c r="C17" s="62"/>
      <c r="D17" s="59"/>
    </row>
    <row r="18" spans="1:5" x14ac:dyDescent="0.3">
      <c r="A18" s="60" t="s">
        <v>125</v>
      </c>
      <c r="B18" s="67" t="s">
        <v>126</v>
      </c>
      <c r="C18" s="68">
        <v>10947.455974405999</v>
      </c>
      <c r="D18" s="68">
        <v>4680</v>
      </c>
    </row>
    <row r="19" spans="1:5" x14ac:dyDescent="0.3">
      <c r="A19" s="60" t="s">
        <v>127</v>
      </c>
      <c r="B19" s="61" t="s">
        <v>128</v>
      </c>
      <c r="C19" s="62">
        <v>10126.57</v>
      </c>
      <c r="D19" s="62">
        <f>D21+D23+D26+D30+D20+D22</f>
        <v>14765.38</v>
      </c>
      <c r="E19" s="63"/>
    </row>
    <row r="20" spans="1:5" ht="26" x14ac:dyDescent="0.3">
      <c r="A20" s="69" t="s">
        <v>129</v>
      </c>
      <c r="B20" s="70" t="s">
        <v>130</v>
      </c>
      <c r="C20" s="65"/>
      <c r="D20" s="65">
        <v>355.93</v>
      </c>
    </row>
    <row r="21" spans="1:5" x14ac:dyDescent="0.3">
      <c r="A21" s="60" t="s">
        <v>131</v>
      </c>
      <c r="B21" s="61" t="s">
        <v>132</v>
      </c>
      <c r="C21" s="65">
        <v>40</v>
      </c>
      <c r="D21" s="62">
        <v>51.63</v>
      </c>
      <c r="E21" s="71"/>
    </row>
    <row r="22" spans="1:5" x14ac:dyDescent="0.3">
      <c r="A22" s="60" t="s">
        <v>133</v>
      </c>
      <c r="B22" s="61" t="s">
        <v>134</v>
      </c>
      <c r="C22" s="62">
        <v>0</v>
      </c>
      <c r="D22" s="59">
        <v>33.1</v>
      </c>
    </row>
    <row r="23" spans="1:5" ht="91" x14ac:dyDescent="0.3">
      <c r="A23" s="69" t="s">
        <v>135</v>
      </c>
      <c r="B23" s="61" t="s">
        <v>136</v>
      </c>
      <c r="C23" s="62">
        <v>5528.72</v>
      </c>
      <c r="D23" s="62">
        <v>9074</v>
      </c>
    </row>
    <row r="24" spans="1:5" ht="26" x14ac:dyDescent="0.3">
      <c r="A24" s="60" t="s">
        <v>137</v>
      </c>
      <c r="B24" s="61" t="s">
        <v>138</v>
      </c>
      <c r="C24" s="62"/>
      <c r="D24" s="72"/>
    </row>
    <row r="25" spans="1:5" x14ac:dyDescent="0.3">
      <c r="A25" s="60" t="s">
        <v>139</v>
      </c>
      <c r="B25" s="61" t="s">
        <v>140</v>
      </c>
      <c r="C25" s="62"/>
      <c r="D25" s="62"/>
    </row>
    <row r="26" spans="1:5" ht="26" x14ac:dyDescent="0.3">
      <c r="A26" s="60" t="s">
        <v>141</v>
      </c>
      <c r="B26" s="61" t="s">
        <v>142</v>
      </c>
      <c r="C26" s="62">
        <v>3034.8775898355402</v>
      </c>
      <c r="D26" s="62">
        <f>D28+D29</f>
        <v>1926.26</v>
      </c>
    </row>
    <row r="27" spans="1:5" x14ac:dyDescent="0.3">
      <c r="A27" s="60" t="s">
        <v>143</v>
      </c>
      <c r="B27" s="61" t="s">
        <v>144</v>
      </c>
      <c r="C27" s="62"/>
      <c r="D27" s="59"/>
    </row>
    <row r="28" spans="1:5" x14ac:dyDescent="0.3">
      <c r="A28" s="60" t="s">
        <v>145</v>
      </c>
      <c r="B28" s="61" t="s">
        <v>146</v>
      </c>
      <c r="C28" s="62">
        <v>39.707338</v>
      </c>
      <c r="D28" s="62">
        <v>44.93</v>
      </c>
    </row>
    <row r="29" spans="1:5" x14ac:dyDescent="0.3">
      <c r="A29" s="60" t="s">
        <v>147</v>
      </c>
      <c r="B29" s="61" t="s">
        <v>148</v>
      </c>
      <c r="C29" s="62">
        <v>2995.1702518355401</v>
      </c>
      <c r="D29" s="62">
        <v>1881.33</v>
      </c>
      <c r="E29" s="63"/>
    </row>
    <row r="30" spans="1:5" ht="26" x14ac:dyDescent="0.3">
      <c r="A30" s="60" t="s">
        <v>149</v>
      </c>
      <c r="B30" s="61" t="s">
        <v>150</v>
      </c>
      <c r="C30" s="62">
        <v>1522.97</v>
      </c>
      <c r="D30" s="62">
        <v>3324.46</v>
      </c>
    </row>
    <row r="31" spans="1:5" x14ac:dyDescent="0.3">
      <c r="A31" s="60" t="s">
        <v>151</v>
      </c>
      <c r="B31" s="61" t="s">
        <v>152</v>
      </c>
      <c r="C31" s="62"/>
      <c r="D31" s="59"/>
    </row>
    <row r="32" spans="1:5" x14ac:dyDescent="0.3">
      <c r="A32" s="60" t="s">
        <v>153</v>
      </c>
      <c r="B32" s="61" t="s">
        <v>154</v>
      </c>
      <c r="C32" s="62"/>
      <c r="D32" s="59"/>
    </row>
    <row r="33" spans="1:5" ht="26" x14ac:dyDescent="0.3">
      <c r="A33" s="73" t="s">
        <v>155</v>
      </c>
      <c r="B33" s="74" t="s">
        <v>156</v>
      </c>
      <c r="C33" s="62"/>
      <c r="D33" s="59">
        <v>232</v>
      </c>
    </row>
    <row r="34" spans="1:5" x14ac:dyDescent="0.3">
      <c r="A34" s="60" t="s">
        <v>157</v>
      </c>
      <c r="B34" s="75" t="s">
        <v>158</v>
      </c>
      <c r="C34" s="76">
        <v>62049.24</v>
      </c>
      <c r="D34" s="77">
        <f>D5+D6+D8+D11+D14+D16+D18+D19+D30+D33</f>
        <v>65852.06</v>
      </c>
    </row>
    <row r="35" spans="1:5" x14ac:dyDescent="0.3">
      <c r="A35" s="60" t="s">
        <v>159</v>
      </c>
      <c r="B35" s="61" t="s">
        <v>160</v>
      </c>
      <c r="C35" s="62">
        <v>2452.1691500000002</v>
      </c>
      <c r="D35" s="59"/>
    </row>
    <row r="36" spans="1:5" ht="26" x14ac:dyDescent="0.3">
      <c r="A36" s="60" t="s">
        <v>161</v>
      </c>
      <c r="B36" s="61" t="s">
        <v>162</v>
      </c>
      <c r="C36" s="59"/>
      <c r="D36" s="59"/>
    </row>
    <row r="37" spans="1:5" x14ac:dyDescent="0.3">
      <c r="A37" s="60"/>
      <c r="B37" s="61"/>
      <c r="C37" s="59"/>
      <c r="D37" s="59"/>
    </row>
    <row r="38" spans="1:5" x14ac:dyDescent="0.3">
      <c r="A38" s="78" t="s">
        <v>163</v>
      </c>
      <c r="B38" s="61" t="s">
        <v>164</v>
      </c>
      <c r="C38" s="76">
        <f>C34+C35</f>
        <v>64501.409149999999</v>
      </c>
      <c r="D38" s="76">
        <f>D34+D35</f>
        <v>65852.06</v>
      </c>
      <c r="E38" s="63"/>
    </row>
    <row r="39" spans="1:5" x14ac:dyDescent="0.3">
      <c r="A39" s="60"/>
      <c r="B39" s="61" t="s">
        <v>165</v>
      </c>
      <c r="C39" s="59"/>
      <c r="D39" s="59"/>
    </row>
    <row r="40" spans="1:5" x14ac:dyDescent="0.3">
      <c r="A40" s="73" t="s">
        <v>166</v>
      </c>
      <c r="B40" s="61" t="s">
        <v>167</v>
      </c>
      <c r="C40" s="59"/>
      <c r="D40" s="59"/>
    </row>
    <row r="41" spans="1:5" x14ac:dyDescent="0.3">
      <c r="A41" s="73" t="s">
        <v>168</v>
      </c>
      <c r="B41" s="61" t="s">
        <v>169</v>
      </c>
      <c r="C41" s="59"/>
      <c r="D41" s="59"/>
    </row>
    <row r="42" spans="1:5" x14ac:dyDescent="0.3">
      <c r="A42" s="73" t="s">
        <v>170</v>
      </c>
      <c r="B42" s="61" t="s">
        <v>171</v>
      </c>
      <c r="C42" s="59"/>
      <c r="D42" s="59"/>
    </row>
    <row r="43" spans="1:5" x14ac:dyDescent="0.3">
      <c r="A43" s="73" t="s">
        <v>172</v>
      </c>
      <c r="B43" s="61" t="s">
        <v>173</v>
      </c>
      <c r="C43" s="59"/>
      <c r="D43" s="59"/>
    </row>
    <row r="44" spans="1:5" x14ac:dyDescent="0.3">
      <c r="A44" s="60" t="s">
        <v>174</v>
      </c>
      <c r="B44" s="61" t="s">
        <v>175</v>
      </c>
      <c r="C44" s="59"/>
      <c r="D44" s="59"/>
    </row>
    <row r="45" spans="1:5" x14ac:dyDescent="0.3">
      <c r="A45" s="73" t="s">
        <v>176</v>
      </c>
      <c r="B45" s="61" t="s">
        <v>177</v>
      </c>
      <c r="C45" s="59"/>
      <c r="D45" s="59"/>
    </row>
    <row r="46" spans="1:5" x14ac:dyDescent="0.3">
      <c r="A46" s="73" t="s">
        <v>178</v>
      </c>
      <c r="B46" s="61" t="s">
        <v>179</v>
      </c>
      <c r="C46" s="59"/>
      <c r="D46" s="59"/>
    </row>
    <row r="47" spans="1:5" x14ac:dyDescent="0.3">
      <c r="A47" s="73" t="s">
        <v>180</v>
      </c>
      <c r="B47" s="61" t="s">
        <v>181</v>
      </c>
      <c r="C47" s="59"/>
      <c r="D47" s="59"/>
    </row>
    <row r="48" spans="1:5" x14ac:dyDescent="0.3">
      <c r="A48" s="60" t="s">
        <v>182</v>
      </c>
      <c r="B48" s="61" t="s">
        <v>183</v>
      </c>
      <c r="C48" s="59"/>
      <c r="D48" s="59"/>
    </row>
    <row r="49" spans="1:4" x14ac:dyDescent="0.3">
      <c r="A49" s="79"/>
      <c r="B49" s="80" t="s">
        <v>184</v>
      </c>
      <c r="C49" s="76">
        <v>231.15131660899505</v>
      </c>
      <c r="D49" s="76">
        <v>-1553.07</v>
      </c>
    </row>
    <row r="50" spans="1:4" x14ac:dyDescent="0.3">
      <c r="A50" s="81"/>
      <c r="B50" s="75" t="s">
        <v>185</v>
      </c>
      <c r="C50" s="76">
        <f>C38+C49</f>
        <v>64732.560466608993</v>
      </c>
      <c r="D50" s="76">
        <f>D38-D49</f>
        <v>67405.13</v>
      </c>
    </row>
    <row r="51" spans="1:4" x14ac:dyDescent="0.3">
      <c r="B51" s="82"/>
      <c r="C51" s="64"/>
      <c r="D51" s="64"/>
    </row>
    <row r="52" spans="1:4" x14ac:dyDescent="0.3">
      <c r="A52" s="51" t="s">
        <v>65</v>
      </c>
      <c r="B52" s="83"/>
      <c r="C52" s="51" t="s">
        <v>66</v>
      </c>
    </row>
    <row r="54" spans="1:4" ht="15" x14ac:dyDescent="0.3">
      <c r="A54" s="84" t="s">
        <v>186</v>
      </c>
    </row>
    <row r="55" spans="1:4" x14ac:dyDescent="0.3">
      <c r="A55" s="51" t="s">
        <v>187</v>
      </c>
    </row>
    <row r="56" spans="1:4" ht="26" x14ac:dyDescent="0.3">
      <c r="A56" s="52" t="s">
        <v>101</v>
      </c>
      <c r="B56" s="52" t="s">
        <v>71</v>
      </c>
      <c r="C56" s="53" t="s">
        <v>102</v>
      </c>
      <c r="D56" s="54" t="s">
        <v>103</v>
      </c>
    </row>
    <row r="57" spans="1:4" ht="26" x14ac:dyDescent="0.3">
      <c r="A57" s="56"/>
      <c r="B57" s="56"/>
      <c r="C57" s="57" t="s">
        <v>104</v>
      </c>
      <c r="D57" s="57" t="s">
        <v>105</v>
      </c>
    </row>
    <row r="58" spans="1:4" x14ac:dyDescent="0.3">
      <c r="A58" s="59"/>
      <c r="B58" s="59" t="s">
        <v>188</v>
      </c>
      <c r="C58" s="59"/>
      <c r="D58" s="59">
        <v>198.53</v>
      </c>
    </row>
    <row r="59" spans="1:4" x14ac:dyDescent="0.3">
      <c r="A59" s="85"/>
      <c r="B59" s="59" t="s">
        <v>189</v>
      </c>
      <c r="C59" s="59">
        <v>4.0999999999999996</v>
      </c>
      <c r="D59" s="59">
        <v>65.7</v>
      </c>
    </row>
    <row r="60" spans="1:4" x14ac:dyDescent="0.3">
      <c r="A60" s="59"/>
      <c r="B60" s="59" t="s">
        <v>190</v>
      </c>
      <c r="C60" s="59">
        <v>213.65</v>
      </c>
      <c r="D60" s="59">
        <f>336.3+49+6.6</f>
        <v>391.90000000000003</v>
      </c>
    </row>
    <row r="61" spans="1:4" x14ac:dyDescent="0.3">
      <c r="A61" s="59"/>
      <c r="B61" s="59" t="s">
        <v>191</v>
      </c>
      <c r="C61" s="59">
        <v>245.2</v>
      </c>
      <c r="D61" s="59">
        <v>355.39</v>
      </c>
    </row>
    <row r="62" spans="1:4" x14ac:dyDescent="0.3">
      <c r="A62" s="59"/>
      <c r="B62" s="59" t="s">
        <v>192</v>
      </c>
      <c r="C62" s="59">
        <v>5</v>
      </c>
      <c r="D62" s="59">
        <f>12.9+3.9</f>
        <v>16.8</v>
      </c>
    </row>
    <row r="63" spans="1:4" x14ac:dyDescent="0.3">
      <c r="A63" s="59"/>
      <c r="B63" s="59" t="s">
        <v>193</v>
      </c>
      <c r="C63" s="59">
        <v>207.9</v>
      </c>
      <c r="D63" s="59">
        <v>208.9</v>
      </c>
    </row>
    <row r="64" spans="1:4" x14ac:dyDescent="0.3">
      <c r="A64" s="59"/>
      <c r="B64" s="59" t="s">
        <v>194</v>
      </c>
      <c r="C64" s="59">
        <v>129.13999999999999</v>
      </c>
      <c r="D64" s="59">
        <f>168.3+47.7+2.3+112.1+23.7+12.4</f>
        <v>366.49999999999994</v>
      </c>
    </row>
    <row r="65" spans="1:4" x14ac:dyDescent="0.3">
      <c r="A65" s="59"/>
      <c r="B65" s="59" t="s">
        <v>195</v>
      </c>
      <c r="C65" s="59"/>
      <c r="D65" s="59">
        <v>52.4</v>
      </c>
    </row>
    <row r="66" spans="1:4" x14ac:dyDescent="0.3">
      <c r="A66" s="86"/>
      <c r="B66" s="59" t="s">
        <v>196</v>
      </c>
      <c r="C66" s="59">
        <v>6</v>
      </c>
      <c r="D66" s="59">
        <v>250.1</v>
      </c>
    </row>
    <row r="67" spans="1:4" x14ac:dyDescent="0.3">
      <c r="A67" s="59"/>
      <c r="B67" s="59" t="s">
        <v>197</v>
      </c>
      <c r="C67" s="59"/>
      <c r="D67" s="59">
        <v>110</v>
      </c>
    </row>
    <row r="68" spans="1:4" x14ac:dyDescent="0.3">
      <c r="A68" s="59"/>
      <c r="B68" s="59" t="s">
        <v>198</v>
      </c>
      <c r="C68" s="59">
        <v>15</v>
      </c>
      <c r="D68" s="59">
        <f>0.4+3.1+15.2</f>
        <v>18.7</v>
      </c>
    </row>
    <row r="69" spans="1:4" x14ac:dyDescent="0.3">
      <c r="A69" s="59"/>
      <c r="B69" s="59" t="s">
        <v>199</v>
      </c>
      <c r="C69" s="59">
        <v>52</v>
      </c>
      <c r="D69" s="59"/>
    </row>
    <row r="70" spans="1:4" x14ac:dyDescent="0.3">
      <c r="A70" s="59"/>
      <c r="B70" s="59" t="s">
        <v>200</v>
      </c>
      <c r="C70" s="59"/>
      <c r="D70" s="59">
        <v>99.7</v>
      </c>
    </row>
    <row r="71" spans="1:4" x14ac:dyDescent="0.3">
      <c r="A71" s="59"/>
      <c r="B71" s="59" t="s">
        <v>201</v>
      </c>
      <c r="C71" s="59"/>
      <c r="D71" s="59">
        <v>40</v>
      </c>
    </row>
    <row r="72" spans="1:4" x14ac:dyDescent="0.3">
      <c r="A72" s="59"/>
      <c r="B72" s="59" t="s">
        <v>202</v>
      </c>
      <c r="C72" s="59">
        <v>144</v>
      </c>
      <c r="D72" s="59">
        <v>165.9</v>
      </c>
    </row>
    <row r="73" spans="1:4" x14ac:dyDescent="0.3">
      <c r="A73" s="59"/>
      <c r="B73" s="59" t="s">
        <v>203</v>
      </c>
      <c r="C73" s="59">
        <v>17.8</v>
      </c>
      <c r="D73" s="59">
        <v>18.239999999999998</v>
      </c>
    </row>
    <row r="74" spans="1:4" ht="21.5" x14ac:dyDescent="0.3">
      <c r="A74" s="59"/>
      <c r="B74" s="85" t="s">
        <v>204</v>
      </c>
      <c r="C74" s="59"/>
      <c r="D74" s="59">
        <f>16.6+19+17.5</f>
        <v>53.1</v>
      </c>
    </row>
    <row r="75" spans="1:4" x14ac:dyDescent="0.3">
      <c r="A75" s="59"/>
      <c r="B75" s="87" t="s">
        <v>205</v>
      </c>
      <c r="C75" s="59"/>
      <c r="D75" s="59">
        <v>16.329999999999998</v>
      </c>
    </row>
    <row r="76" spans="1:4" x14ac:dyDescent="0.3">
      <c r="A76" s="59"/>
      <c r="B76" s="87" t="s">
        <v>206</v>
      </c>
      <c r="C76" s="59"/>
      <c r="D76" s="59">
        <v>16.3</v>
      </c>
    </row>
    <row r="77" spans="1:4" x14ac:dyDescent="0.3">
      <c r="A77" s="59"/>
      <c r="B77" s="59" t="s">
        <v>207</v>
      </c>
      <c r="C77" s="59">
        <v>120</v>
      </c>
      <c r="D77" s="59"/>
    </row>
    <row r="78" spans="1:4" x14ac:dyDescent="0.3">
      <c r="A78" s="59"/>
      <c r="B78" s="59" t="s">
        <v>208</v>
      </c>
      <c r="C78" s="59">
        <v>18.600000000000001</v>
      </c>
      <c r="D78" s="59">
        <v>15.1</v>
      </c>
    </row>
    <row r="79" spans="1:4" ht="21.5" x14ac:dyDescent="0.3">
      <c r="A79" s="59"/>
      <c r="B79" s="85" t="s">
        <v>209</v>
      </c>
      <c r="C79" s="59">
        <v>32.299999999999997</v>
      </c>
      <c r="D79" s="59">
        <v>29.64</v>
      </c>
    </row>
    <row r="80" spans="1:4" ht="26" x14ac:dyDescent="0.3">
      <c r="A80" s="59"/>
      <c r="B80" s="88" t="s">
        <v>210</v>
      </c>
      <c r="C80" s="59"/>
      <c r="D80" s="59"/>
    </row>
    <row r="81" spans="1:4" x14ac:dyDescent="0.3">
      <c r="A81" s="59"/>
      <c r="B81" s="59" t="s">
        <v>211</v>
      </c>
      <c r="C81" s="59"/>
      <c r="D81" s="59">
        <f>36.68</f>
        <v>36.68</v>
      </c>
    </row>
    <row r="82" spans="1:4" x14ac:dyDescent="0.3">
      <c r="A82" s="59"/>
      <c r="B82" s="59" t="s">
        <v>212</v>
      </c>
      <c r="C82" s="59">
        <v>125</v>
      </c>
      <c r="D82" s="59">
        <v>66</v>
      </c>
    </row>
    <row r="83" spans="1:4" x14ac:dyDescent="0.3">
      <c r="A83" s="59"/>
      <c r="B83" s="59" t="s">
        <v>213</v>
      </c>
      <c r="C83" s="59"/>
      <c r="D83" s="59">
        <v>355.9</v>
      </c>
    </row>
    <row r="84" spans="1:4" x14ac:dyDescent="0.3">
      <c r="A84" s="59"/>
      <c r="B84" s="88" t="s">
        <v>214</v>
      </c>
      <c r="C84" s="59">
        <v>5.0999999999999996</v>
      </c>
      <c r="D84" s="59">
        <v>8.6</v>
      </c>
    </row>
    <row r="85" spans="1:4" x14ac:dyDescent="0.3">
      <c r="A85" s="59"/>
      <c r="B85" s="59" t="s">
        <v>215</v>
      </c>
      <c r="C85" s="59">
        <v>173.69</v>
      </c>
      <c r="D85" s="59">
        <f>178.63</f>
        <v>178.63</v>
      </c>
    </row>
    <row r="86" spans="1:4" x14ac:dyDescent="0.3">
      <c r="A86" s="59"/>
      <c r="B86" s="59" t="s">
        <v>216</v>
      </c>
      <c r="C86" s="59"/>
      <c r="D86" s="59">
        <v>189.42</v>
      </c>
    </row>
    <row r="87" spans="1:4" x14ac:dyDescent="0.3">
      <c r="A87" s="86" t="s">
        <v>217</v>
      </c>
      <c r="B87" s="59" t="s">
        <v>218</v>
      </c>
      <c r="C87" s="59">
        <v>8.5</v>
      </c>
      <c r="D87" s="59"/>
    </row>
    <row r="88" spans="1:4" x14ac:dyDescent="0.3">
      <c r="A88" s="59"/>
      <c r="B88" s="59" t="s">
        <v>73</v>
      </c>
      <c r="C88" s="89">
        <f>SUM(C58:C87)</f>
        <v>1522.9799999999998</v>
      </c>
      <c r="D88" s="89">
        <f>SUM(D58:D87)</f>
        <v>3324.46</v>
      </c>
    </row>
    <row r="91" spans="1:4" x14ac:dyDescent="0.3">
      <c r="A91" s="51" t="s">
        <v>65</v>
      </c>
      <c r="B91" s="83"/>
      <c r="C91" s="51" t="s">
        <v>66</v>
      </c>
    </row>
    <row r="94" spans="1:4" ht="17.5" x14ac:dyDescent="0.35">
      <c r="B94" s="90" t="s">
        <v>219</v>
      </c>
    </row>
    <row r="96" spans="1:4" ht="26" x14ac:dyDescent="0.3">
      <c r="A96" s="52" t="s">
        <v>101</v>
      </c>
      <c r="B96" s="52" t="s">
        <v>71</v>
      </c>
      <c r="C96" s="53" t="s">
        <v>102</v>
      </c>
      <c r="D96" s="54" t="s">
        <v>103</v>
      </c>
    </row>
    <row r="97" spans="1:4" ht="26" x14ac:dyDescent="0.3">
      <c r="A97" s="56"/>
      <c r="B97" s="56"/>
      <c r="C97" s="57" t="s">
        <v>104</v>
      </c>
      <c r="D97" s="57" t="s">
        <v>105</v>
      </c>
    </row>
    <row r="98" spans="1:4" x14ac:dyDescent="0.3">
      <c r="A98" s="59"/>
      <c r="B98" s="59" t="s">
        <v>107</v>
      </c>
      <c r="C98" s="89">
        <v>2057.25</v>
      </c>
      <c r="D98" s="76">
        <v>4291.17</v>
      </c>
    </row>
    <row r="99" spans="1:4" x14ac:dyDescent="0.3">
      <c r="A99" s="59"/>
      <c r="B99" s="59" t="s">
        <v>220</v>
      </c>
      <c r="C99" s="89">
        <f>C100+C101+C102+C103+C105</f>
        <v>2154.38</v>
      </c>
      <c r="D99" s="89">
        <f>D100+D101+D102+D103+D104+D105</f>
        <v>2271.4499999999998</v>
      </c>
    </row>
    <row r="100" spans="1:4" x14ac:dyDescent="0.3">
      <c r="A100" s="59"/>
      <c r="B100" s="59" t="s">
        <v>221</v>
      </c>
      <c r="C100" s="59">
        <v>426.51</v>
      </c>
      <c r="D100" s="59">
        <v>307.67</v>
      </c>
    </row>
    <row r="101" spans="1:4" x14ac:dyDescent="0.3">
      <c r="A101" s="59"/>
      <c r="B101" s="59" t="s">
        <v>222</v>
      </c>
      <c r="C101" s="59">
        <v>297.24</v>
      </c>
      <c r="D101" s="59">
        <v>62.12</v>
      </c>
    </row>
    <row r="102" spans="1:4" x14ac:dyDescent="0.3">
      <c r="A102" s="59"/>
      <c r="B102" s="59" t="s">
        <v>223</v>
      </c>
      <c r="C102" s="59">
        <v>0</v>
      </c>
      <c r="D102" s="59">
        <v>35.43</v>
      </c>
    </row>
    <row r="103" spans="1:4" x14ac:dyDescent="0.3">
      <c r="A103" s="59"/>
      <c r="B103" s="59" t="s">
        <v>224</v>
      </c>
      <c r="C103" s="59">
        <v>1202.6300000000001</v>
      </c>
      <c r="D103" s="59">
        <v>1600.62</v>
      </c>
    </row>
    <row r="104" spans="1:4" x14ac:dyDescent="0.3">
      <c r="A104" s="59"/>
      <c r="B104" s="59" t="s">
        <v>225</v>
      </c>
      <c r="C104" s="59"/>
      <c r="D104" s="59">
        <v>9.06</v>
      </c>
    </row>
    <row r="105" spans="1:4" x14ac:dyDescent="0.3">
      <c r="A105" s="59"/>
      <c r="B105" s="59" t="s">
        <v>226</v>
      </c>
      <c r="C105" s="89">
        <v>228</v>
      </c>
      <c r="D105" s="89">
        <v>256.55</v>
      </c>
    </row>
    <row r="106" spans="1:4" x14ac:dyDescent="0.3">
      <c r="A106" s="59"/>
      <c r="B106" s="59" t="s">
        <v>73</v>
      </c>
      <c r="C106" s="91">
        <f t="shared" ref="C106:D106" si="0">C98+C99</f>
        <v>4211.63</v>
      </c>
      <c r="D106" s="76">
        <f t="shared" si="0"/>
        <v>6562.62</v>
      </c>
    </row>
    <row r="108" spans="1:4" x14ac:dyDescent="0.3">
      <c r="A108" s="51" t="s">
        <v>65</v>
      </c>
      <c r="B108" s="83"/>
      <c r="C108" s="51" t="s">
        <v>66</v>
      </c>
    </row>
    <row r="109" spans="1:4" x14ac:dyDescent="0.3">
      <c r="B109" s="83"/>
    </row>
    <row r="110" spans="1:4" x14ac:dyDescent="0.3">
      <c r="B110" s="83"/>
    </row>
    <row r="111" spans="1:4" ht="17.5" x14ac:dyDescent="0.35">
      <c r="A111" s="90" t="s">
        <v>227</v>
      </c>
    </row>
    <row r="112" spans="1:4" ht="26" x14ac:dyDescent="0.3">
      <c r="A112" s="52" t="s">
        <v>101</v>
      </c>
      <c r="B112" s="52" t="s">
        <v>71</v>
      </c>
      <c r="C112" s="53" t="s">
        <v>102</v>
      </c>
      <c r="D112" s="54" t="s">
        <v>103</v>
      </c>
    </row>
    <row r="113" spans="1:4" ht="26" x14ac:dyDescent="0.3">
      <c r="A113" s="56"/>
      <c r="B113" s="56"/>
      <c r="C113" s="57" t="s">
        <v>104</v>
      </c>
      <c r="D113" s="57" t="s">
        <v>105</v>
      </c>
    </row>
    <row r="114" spans="1:4" x14ac:dyDescent="0.3">
      <c r="A114" s="59"/>
      <c r="B114" s="92" t="s">
        <v>228</v>
      </c>
      <c r="C114" s="89">
        <v>0</v>
      </c>
      <c r="D114" s="59"/>
    </row>
    <row r="115" spans="1:4" x14ac:dyDescent="0.3">
      <c r="A115" s="59"/>
      <c r="B115" s="93" t="s">
        <v>49</v>
      </c>
      <c r="C115" s="89"/>
      <c r="D115" s="59"/>
    </row>
    <row r="116" spans="1:4" x14ac:dyDescent="0.3">
      <c r="A116" s="59"/>
      <c r="B116" s="93" t="s">
        <v>229</v>
      </c>
      <c r="C116" s="59">
        <v>0</v>
      </c>
      <c r="D116" s="59"/>
    </row>
    <row r="117" spans="1:4" x14ac:dyDescent="0.3">
      <c r="A117" s="59"/>
      <c r="B117" s="92" t="s">
        <v>230</v>
      </c>
      <c r="C117" s="89">
        <v>0</v>
      </c>
      <c r="D117" s="89"/>
    </row>
    <row r="118" spans="1:4" x14ac:dyDescent="0.3">
      <c r="A118" s="59"/>
      <c r="B118" s="93" t="s">
        <v>49</v>
      </c>
      <c r="C118" s="59"/>
      <c r="D118" s="59"/>
    </row>
    <row r="119" spans="1:4" x14ac:dyDescent="0.3">
      <c r="A119" s="59"/>
      <c r="B119" s="93" t="s">
        <v>231</v>
      </c>
      <c r="C119" s="59"/>
      <c r="D119" s="59"/>
    </row>
    <row r="120" spans="1:4" x14ac:dyDescent="0.3">
      <c r="A120" s="59"/>
      <c r="B120" s="93" t="s">
        <v>232</v>
      </c>
      <c r="C120" s="89"/>
      <c r="D120" s="59"/>
    </row>
    <row r="121" spans="1:4" x14ac:dyDescent="0.3">
      <c r="A121" s="59"/>
      <c r="B121" s="93" t="s">
        <v>233</v>
      </c>
      <c r="C121" s="59"/>
      <c r="D121" s="59"/>
    </row>
    <row r="122" spans="1:4" x14ac:dyDescent="0.3">
      <c r="A122" s="59"/>
      <c r="B122" s="93" t="s">
        <v>234</v>
      </c>
      <c r="C122" s="59"/>
      <c r="D122" s="59"/>
    </row>
    <row r="123" spans="1:4" x14ac:dyDescent="0.3">
      <c r="A123" s="59"/>
      <c r="B123" s="93" t="s">
        <v>235</v>
      </c>
      <c r="C123" s="59"/>
      <c r="D123" s="59"/>
    </row>
    <row r="124" spans="1:4" ht="21" x14ac:dyDescent="0.3">
      <c r="A124" s="59"/>
      <c r="B124" s="93" t="s">
        <v>236</v>
      </c>
      <c r="C124" s="59"/>
      <c r="D124" s="59"/>
    </row>
    <row r="125" spans="1:4" x14ac:dyDescent="0.3">
      <c r="A125" s="59"/>
      <c r="B125" s="93" t="s">
        <v>237</v>
      </c>
      <c r="C125" s="59"/>
      <c r="D125" s="59"/>
    </row>
    <row r="126" spans="1:4" x14ac:dyDescent="0.3">
      <c r="A126" s="59"/>
      <c r="B126" s="93" t="s">
        <v>238</v>
      </c>
      <c r="C126" s="59"/>
      <c r="D126" s="59"/>
    </row>
    <row r="127" spans="1:4" x14ac:dyDescent="0.3">
      <c r="A127" s="59"/>
      <c r="B127" s="93" t="s">
        <v>239</v>
      </c>
      <c r="C127" s="59"/>
      <c r="D127" s="59"/>
    </row>
    <row r="128" spans="1:4" x14ac:dyDescent="0.3">
      <c r="A128" s="59"/>
      <c r="B128" s="93" t="s">
        <v>240</v>
      </c>
      <c r="C128" s="59"/>
      <c r="D128" s="59"/>
    </row>
    <row r="129" spans="1:4" x14ac:dyDescent="0.3">
      <c r="A129" s="59"/>
      <c r="B129" s="92" t="s">
        <v>241</v>
      </c>
      <c r="C129" s="89">
        <v>142.19999999999999</v>
      </c>
      <c r="D129" s="89">
        <v>232</v>
      </c>
    </row>
    <row r="130" spans="1:4" x14ac:dyDescent="0.3">
      <c r="A130" s="59"/>
      <c r="B130" s="93" t="s">
        <v>242</v>
      </c>
      <c r="C130" s="59"/>
      <c r="D130" s="59"/>
    </row>
    <row r="131" spans="1:4" x14ac:dyDescent="0.3">
      <c r="A131" s="59"/>
      <c r="B131" s="93" t="s">
        <v>243</v>
      </c>
      <c r="C131" s="59"/>
      <c r="D131" s="59"/>
    </row>
    <row r="132" spans="1:4" x14ac:dyDescent="0.3">
      <c r="A132" s="59"/>
      <c r="B132" s="93" t="s">
        <v>244</v>
      </c>
      <c r="C132" s="59"/>
      <c r="D132" s="59"/>
    </row>
    <row r="133" spans="1:4" x14ac:dyDescent="0.3">
      <c r="A133" s="59"/>
      <c r="B133" s="93" t="s">
        <v>245</v>
      </c>
      <c r="C133" s="59"/>
      <c r="D133" s="59"/>
    </row>
    <row r="134" spans="1:4" x14ac:dyDescent="0.3">
      <c r="A134" s="59"/>
      <c r="B134" s="93" t="s">
        <v>246</v>
      </c>
      <c r="C134" s="59">
        <v>118.5</v>
      </c>
      <c r="D134" s="59">
        <v>163.5</v>
      </c>
    </row>
    <row r="135" spans="1:4" x14ac:dyDescent="0.3">
      <c r="A135" s="59"/>
      <c r="B135" s="93" t="s">
        <v>247</v>
      </c>
      <c r="C135" s="59">
        <v>23.7</v>
      </c>
      <c r="D135" s="59">
        <v>52.1</v>
      </c>
    </row>
    <row r="136" spans="1:4" x14ac:dyDescent="0.3">
      <c r="A136" s="59"/>
      <c r="B136" s="93" t="s">
        <v>248</v>
      </c>
      <c r="C136" s="59"/>
      <c r="D136" s="59">
        <v>16.3</v>
      </c>
    </row>
    <row r="137" spans="1:4" x14ac:dyDescent="0.3">
      <c r="A137" s="59"/>
      <c r="B137" s="92" t="s">
        <v>249</v>
      </c>
      <c r="C137" s="59"/>
      <c r="D137" s="59"/>
    </row>
    <row r="138" spans="1:4" x14ac:dyDescent="0.3">
      <c r="A138" s="59"/>
      <c r="B138" s="92" t="s">
        <v>250</v>
      </c>
      <c r="C138" s="89">
        <v>53.4</v>
      </c>
      <c r="D138" s="59"/>
    </row>
    <row r="139" spans="1:4" x14ac:dyDescent="0.3">
      <c r="A139" s="59"/>
      <c r="B139" s="93" t="s">
        <v>251</v>
      </c>
      <c r="C139" s="59"/>
      <c r="D139" s="59"/>
    </row>
    <row r="140" spans="1:4" x14ac:dyDescent="0.3">
      <c r="A140" s="59"/>
      <c r="B140" s="93" t="s">
        <v>252</v>
      </c>
      <c r="C140" s="59"/>
      <c r="D140" s="59"/>
    </row>
    <row r="141" spans="1:4" x14ac:dyDescent="0.3">
      <c r="A141" s="59"/>
      <c r="B141" s="93" t="s">
        <v>253</v>
      </c>
      <c r="C141" s="59"/>
      <c r="D141" s="59"/>
    </row>
    <row r="142" spans="1:4" x14ac:dyDescent="0.3">
      <c r="A142" s="59"/>
      <c r="B142" s="93" t="s">
        <v>254</v>
      </c>
      <c r="C142" s="59">
        <v>53.4</v>
      </c>
      <c r="D142" s="59"/>
    </row>
    <row r="143" spans="1:4" x14ac:dyDescent="0.3">
      <c r="A143" s="59"/>
      <c r="B143" s="93" t="s">
        <v>252</v>
      </c>
      <c r="C143" s="59"/>
      <c r="D143" s="59"/>
    </row>
    <row r="144" spans="1:4" x14ac:dyDescent="0.3">
      <c r="A144" s="59"/>
      <c r="B144" s="93" t="s">
        <v>255</v>
      </c>
      <c r="C144" s="59"/>
      <c r="D144" s="59"/>
    </row>
    <row r="145" spans="1:4" x14ac:dyDescent="0.3">
      <c r="A145" s="59"/>
      <c r="B145" s="93" t="s">
        <v>256</v>
      </c>
      <c r="C145" s="59"/>
      <c r="D145" s="59"/>
    </row>
    <row r="146" spans="1:4" x14ac:dyDescent="0.3">
      <c r="A146" s="59"/>
      <c r="B146" s="93" t="s">
        <v>257</v>
      </c>
      <c r="C146" s="59"/>
      <c r="D146" s="59"/>
    </row>
    <row r="147" spans="1:4" x14ac:dyDescent="0.3">
      <c r="A147" s="59"/>
      <c r="B147" s="92" t="s">
        <v>258</v>
      </c>
      <c r="C147" s="89">
        <v>35.6</v>
      </c>
      <c r="D147" s="59"/>
    </row>
    <row r="148" spans="1:4" x14ac:dyDescent="0.3">
      <c r="A148" s="59"/>
      <c r="B148" s="93" t="s">
        <v>259</v>
      </c>
      <c r="C148" s="59">
        <v>35.6</v>
      </c>
      <c r="D148" s="59"/>
    </row>
    <row r="149" spans="1:4" x14ac:dyDescent="0.3">
      <c r="A149" s="59"/>
      <c r="B149" s="92" t="s">
        <v>260</v>
      </c>
      <c r="C149" s="89">
        <f t="shared" ref="C149" si="1">C114+C117+C129+C138+C147</f>
        <v>231.2</v>
      </c>
      <c r="D149" s="89"/>
    </row>
    <row r="152" spans="1:4" x14ac:dyDescent="0.3">
      <c r="A152" s="51" t="s">
        <v>65</v>
      </c>
      <c r="B152" s="83"/>
      <c r="C152" s="51" t="s">
        <v>66</v>
      </c>
    </row>
  </sheetData>
  <mergeCells count="11">
    <mergeCell ref="A96:A97"/>
    <mergeCell ref="B96:B97"/>
    <mergeCell ref="A112:A113"/>
    <mergeCell ref="B112:B113"/>
    <mergeCell ref="A1:C1"/>
    <mergeCell ref="A2:A3"/>
    <mergeCell ref="B2:B3"/>
    <mergeCell ref="E2:E3"/>
    <mergeCell ref="F2:F3"/>
    <mergeCell ref="A56:A57"/>
    <mergeCell ref="B56:B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НВВ 2017</vt:lpstr>
      <vt:lpstr>потери</vt:lpstr>
      <vt:lpstr>МЭС факт 15</vt:lpstr>
      <vt:lpstr>МЭС план 17</vt:lpstr>
      <vt:lpstr>детализация</vt:lpstr>
      <vt:lpstr>план-факт2015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2016-04-22T05:17:30Z</dcterms:modified>
</cp:coreProperties>
</file>